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<sst xmlns="http://schemas.openxmlformats.org/spreadsheetml/2006/main" count="162" uniqueCount="112">
  <si>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</si>
  <si>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</si>
  <si>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</si>
  <si>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</si>
  <si>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</si>
  <si>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</si>
  <si>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</si>
  <si>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</si>
  <si>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</si>
  <si>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</si>
  <si>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</si>
  <si>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</si>
  <si>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</si>
  <si>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</si>
  <si>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</si>
  <si>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</si>
  <si>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</si>
  <si>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</si>
  <si>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</si>
  <si>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</si>
  <si>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</si>
  <si>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</si>
  <si>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</si>
  <si>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</si>
  <si>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</si>
  <si>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</si>
  <si>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</si>
  <si>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</si>
  <si>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</si>
  <si>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</si>
  <si>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</si>
  <si>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</si>
  <si>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</si>
  <si>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</si>
  <si>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</si>
  <si>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</si>
  <si>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</si>
  <si>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</si>
  <si>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</si>
  <si>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</si>
  <si>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</si>
  <si>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</si>
  <si>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</si>
  <si>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</si>
  <si>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</si>
  <si>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</si>
  <si>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</si>
  <si>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</si>
  <si>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</si>
  <si>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</si>
  <si>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</si>
  <si>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</si>
  <si>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</si>
  <si>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</si>
  <si>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</si>
  <si>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</si>
  <si>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</si>
  <si>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</si>
  <si>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</si>
  <si>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</si>
  <si>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</si>
  <si>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</si>
  <si>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</si>
  <si>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</si>
  <si>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</si>
  <si>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</si>
  <si>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</si>
  <si>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</si>
  <si>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</si>
  <si>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</si>
  <si>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</si>
  <si>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</si>
  <si>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</si>
  <si>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</si>
  <si>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</si>
  <si>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</si>
  <si>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</si>
  <si>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</si>
  <si>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</si>
  <si>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</si>
  <si>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</si>
  <si>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</si>
  <si>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</si>
  <si>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</si>
  <si>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</si>
  <si>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</si>
  <si>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</si>
  <si>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</si>
  <si>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</si>
  <si>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</si>
  <si>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</si>
  <si>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</si>
  <si>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</si>
  <si>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</si>
  <si>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</si>
  <si>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</si>
  <si>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</si>
  <si>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</si>
  <si>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</si>
  <si>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</si>
  <si>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</si>
  <si>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</si>
  <si>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</si>
  <si>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</si>
  <si>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</si>
  <si>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</si>
  <si>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</si>
  <si>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</si>
  <si>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План на 11 місяців, тис.грн.</t>
  </si>
  <si>
    <t>Відсоток виконання плану 11 місяців</t>
  </si>
  <si>
    <t>Відхилення від плану 11 місяців, тис.грн.</t>
  </si>
  <si>
    <t>Аналіз використання коштів міського бюджету за 2016 рік станом на 19.12.2016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</si>
</sst>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35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5" fillId="24" borderId="20" xfId="0" applyNumberFormat="1" applyFont="1" applyFill="1" applyBorder="1" applyAlignment="1">
      <alignment wrapText="1"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35"/>
          <c:w val="0.858"/>
          <c:h val="0.62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59670.90000000001</c:v>
                </c:pt>
                <c:pt idx="1">
                  <c:v>49680.7</c:v>
                </c:pt>
                <c:pt idx="2">
                  <c:v>2121.4</c:v>
                </c:pt>
                <c:pt idx="3">
                  <c:v>7868.800000000012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42294.4</c:v>
                </c:pt>
                <c:pt idx="1">
                  <c:v>36327.5</c:v>
                </c:pt>
                <c:pt idx="2">
                  <c:v>1193.6</c:v>
                </c:pt>
                <c:pt idx="3">
                  <c:v>4773.300000000001</c:v>
                </c:pt>
              </c:numCache>
            </c:numRef>
          </c:val>
          <c:shape val="box"/>
        </c:ser>
        <c:shape val="box"/>
        <c:axId val="2394873"/>
        <c:axId val="21553858"/>
      </c:bar3DChart>
      <c:catAx>
        <c:axId val="2394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553858"/>
        <c:crosses val="autoZero"/>
        <c:auto val="1"/>
        <c:lblOffset val="100"/>
        <c:tickLblSkip val="1"/>
        <c:noMultiLvlLbl val="0"/>
      </c:catAx>
      <c:valAx>
        <c:axId val="215538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48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975"/>
          <c:w val="0.8435"/>
          <c:h val="0.66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450348.8</c:v>
                </c:pt>
                <c:pt idx="1">
                  <c:v>187897.6</c:v>
                </c:pt>
                <c:pt idx="2">
                  <c:v>312466.79999999993</c:v>
                </c:pt>
                <c:pt idx="3">
                  <c:v>85.7</c:v>
                </c:pt>
                <c:pt idx="4">
                  <c:v>27114.4</c:v>
                </c:pt>
                <c:pt idx="5">
                  <c:v>74980.8</c:v>
                </c:pt>
                <c:pt idx="6">
                  <c:v>14740</c:v>
                </c:pt>
                <c:pt idx="7">
                  <c:v>20961.10000000005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296526.8</c:v>
                </c:pt>
                <c:pt idx="1">
                  <c:v>129866</c:v>
                </c:pt>
                <c:pt idx="2">
                  <c:v>227262.1999999999</c:v>
                </c:pt>
                <c:pt idx="3">
                  <c:v>40.89999999999999</c:v>
                </c:pt>
                <c:pt idx="4">
                  <c:v>17707.90000000001</c:v>
                </c:pt>
                <c:pt idx="5">
                  <c:v>32570.9</c:v>
                </c:pt>
                <c:pt idx="6">
                  <c:v>9254.800000000001</c:v>
                </c:pt>
                <c:pt idx="7">
                  <c:v>9690.100000000088</c:v>
                </c:pt>
              </c:numCache>
            </c:numRef>
          </c:val>
          <c:shape val="box"/>
        </c:ser>
        <c:shape val="box"/>
        <c:axId val="59766995"/>
        <c:axId val="1032044"/>
      </c:bar3DChart>
      <c:catAx>
        <c:axId val="59766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32044"/>
        <c:crosses val="autoZero"/>
        <c:auto val="1"/>
        <c:lblOffset val="100"/>
        <c:tickLblSkip val="1"/>
        <c:noMultiLvlLbl val="0"/>
      </c:catAx>
      <c:valAx>
        <c:axId val="10320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7669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875"/>
          <c:w val="0.9295"/>
          <c:h val="0.66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260725.1</c:v>
                </c:pt>
                <c:pt idx="1">
                  <c:v>191519.6</c:v>
                </c:pt>
                <c:pt idx="2">
                  <c:v>189585.8</c:v>
                </c:pt>
                <c:pt idx="3">
                  <c:v>22109.699999999997</c:v>
                </c:pt>
                <c:pt idx="4">
                  <c:v>3917.9</c:v>
                </c:pt>
                <c:pt idx="5">
                  <c:v>29723.4</c:v>
                </c:pt>
                <c:pt idx="6">
                  <c:v>1591.6</c:v>
                </c:pt>
                <c:pt idx="7">
                  <c:v>13796.700000000017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182540.3</c:v>
                </c:pt>
                <c:pt idx="1">
                  <c:v>134000.59999999998</c:v>
                </c:pt>
                <c:pt idx="2">
                  <c:v>140251</c:v>
                </c:pt>
                <c:pt idx="3">
                  <c:v>16451.3</c:v>
                </c:pt>
                <c:pt idx="4">
                  <c:v>3108.6000000000004</c:v>
                </c:pt>
                <c:pt idx="5">
                  <c:v>15184.899999999994</c:v>
                </c:pt>
                <c:pt idx="6">
                  <c:v>1136.3999999999999</c:v>
                </c:pt>
                <c:pt idx="7">
                  <c:v>6408.099999999993</c:v>
                </c:pt>
              </c:numCache>
            </c:numRef>
          </c:val>
          <c:shape val="box"/>
        </c:ser>
        <c:shape val="box"/>
        <c:axId val="9288397"/>
        <c:axId val="16486710"/>
      </c:bar3DChart>
      <c:catAx>
        <c:axId val="9288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486710"/>
        <c:crosses val="autoZero"/>
        <c:auto val="1"/>
        <c:lblOffset val="100"/>
        <c:tickLblSkip val="1"/>
        <c:noMultiLvlLbl val="0"/>
      </c:catAx>
      <c:valAx>
        <c:axId val="164867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2883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025"/>
          <c:w val="0.87025"/>
          <c:h val="0.59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49873.5</c:v>
                </c:pt>
                <c:pt idx="1">
                  <c:v>36349.299999999996</c:v>
                </c:pt>
                <c:pt idx="2">
                  <c:v>3384.4</c:v>
                </c:pt>
                <c:pt idx="3">
                  <c:v>969.3</c:v>
                </c:pt>
                <c:pt idx="4">
                  <c:v>60.8</c:v>
                </c:pt>
                <c:pt idx="5">
                  <c:v>9109.700000000006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35181.799999999996</c:v>
                </c:pt>
                <c:pt idx="1">
                  <c:v>26118.399999999987</c:v>
                </c:pt>
                <c:pt idx="2">
                  <c:v>1288.2999999999995</c:v>
                </c:pt>
                <c:pt idx="3">
                  <c:v>627.8000000000001</c:v>
                </c:pt>
                <c:pt idx="4">
                  <c:v>25.5</c:v>
                </c:pt>
                <c:pt idx="5">
                  <c:v>7121.800000000009</c:v>
                </c:pt>
              </c:numCache>
            </c:numRef>
          </c:val>
          <c:shape val="box"/>
        </c:ser>
        <c:shape val="box"/>
        <c:axId val="14162663"/>
        <c:axId val="60355104"/>
      </c:bar3DChart>
      <c:catAx>
        <c:axId val="14162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355104"/>
        <c:crosses val="autoZero"/>
        <c:auto val="1"/>
        <c:lblOffset val="100"/>
        <c:tickLblSkip val="1"/>
        <c:noMultiLvlLbl val="0"/>
      </c:catAx>
      <c:valAx>
        <c:axId val="603551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1626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85"/>
          <c:w val="0.86375"/>
          <c:h val="0.63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16561.1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200</c:v>
                </c:pt>
                <c:pt idx="6">
                  <c:v>4800.299999999997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10669.899999999992</c:v>
                </c:pt>
                <c:pt idx="1">
                  <c:v>6753.499999999998</c:v>
                </c:pt>
                <c:pt idx="3">
                  <c:v>154.50000000000003</c:v>
                </c:pt>
                <c:pt idx="4">
                  <c:v>398.50000000000006</c:v>
                </c:pt>
                <c:pt idx="5">
                  <c:v>160</c:v>
                </c:pt>
                <c:pt idx="6">
                  <c:v>3203.399999999994</c:v>
                </c:pt>
              </c:numCache>
            </c:numRef>
          </c:val>
          <c:shape val="box"/>
        </c:ser>
        <c:shape val="box"/>
        <c:axId val="6325025"/>
        <c:axId val="56925226"/>
      </c:bar3DChart>
      <c:catAx>
        <c:axId val="6325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925226"/>
        <c:crosses val="autoZero"/>
        <c:auto val="1"/>
        <c:lblOffset val="100"/>
        <c:tickLblSkip val="2"/>
        <c:noMultiLvlLbl val="0"/>
      </c:catAx>
      <c:valAx>
        <c:axId val="569252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50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625"/>
          <c:w val="0.8775"/>
          <c:h val="0.6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6111.4</c:v>
                </c:pt>
                <c:pt idx="1">
                  <c:v>1642.6000000000001</c:v>
                </c:pt>
                <c:pt idx="2">
                  <c:v>311.8</c:v>
                </c:pt>
                <c:pt idx="3">
                  <c:v>627.5</c:v>
                </c:pt>
                <c:pt idx="4">
                  <c:v>3331.3999999999996</c:v>
                </c:pt>
                <c:pt idx="5">
                  <c:v>198.09999999999962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4413.299999999999</c:v>
                </c:pt>
                <c:pt idx="1">
                  <c:v>1218.6</c:v>
                </c:pt>
                <c:pt idx="2">
                  <c:v>311.70000000000005</c:v>
                </c:pt>
                <c:pt idx="3">
                  <c:v>203.50000000000003</c:v>
                </c:pt>
                <c:pt idx="4">
                  <c:v>2574.6000000000004</c:v>
                </c:pt>
                <c:pt idx="5">
                  <c:v>104.89999999999895</c:v>
                </c:pt>
              </c:numCache>
            </c:numRef>
          </c:val>
          <c:shape val="box"/>
        </c:ser>
        <c:shape val="box"/>
        <c:axId val="42564987"/>
        <c:axId val="47540564"/>
      </c:bar3DChart>
      <c:catAx>
        <c:axId val="42564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540564"/>
        <c:crosses val="autoZero"/>
        <c:auto val="1"/>
        <c:lblOffset val="100"/>
        <c:tickLblSkip val="1"/>
        <c:noMultiLvlLbl val="0"/>
      </c:catAx>
      <c:valAx>
        <c:axId val="475405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5649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2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325"/>
          <c:w val="0.85725"/>
          <c:h val="0.67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78623.2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60562.200000000004</c:v>
                </c:pt>
              </c:numCache>
            </c:numRef>
          </c:val>
          <c:shape val="box"/>
        </c:ser>
        <c:shape val="box"/>
        <c:axId val="25211893"/>
        <c:axId val="25580446"/>
      </c:bar3DChart>
      <c:catAx>
        <c:axId val="25211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5580446"/>
        <c:crosses val="autoZero"/>
        <c:auto val="1"/>
        <c:lblOffset val="100"/>
        <c:tickLblSkip val="1"/>
        <c:noMultiLvlLbl val="0"/>
      </c:catAx>
      <c:valAx>
        <c:axId val="255804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118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2"/>
          <c:w val="0.851"/>
          <c:h val="0.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450348.8</c:v>
                </c:pt>
                <c:pt idx="1">
                  <c:v>260725.1</c:v>
                </c:pt>
                <c:pt idx="2">
                  <c:v>49873.5</c:v>
                </c:pt>
                <c:pt idx="3">
                  <c:v>16561.1</c:v>
                </c:pt>
                <c:pt idx="4">
                  <c:v>6111.4</c:v>
                </c:pt>
                <c:pt idx="5">
                  <c:v>59670.90000000001</c:v>
                </c:pt>
                <c:pt idx="6">
                  <c:v>78623.2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296526.8</c:v>
                </c:pt>
                <c:pt idx="1">
                  <c:v>182540.3</c:v>
                </c:pt>
                <c:pt idx="2">
                  <c:v>35181.799999999996</c:v>
                </c:pt>
                <c:pt idx="3">
                  <c:v>10669.899999999992</c:v>
                </c:pt>
                <c:pt idx="4">
                  <c:v>4413.299999999999</c:v>
                </c:pt>
                <c:pt idx="5">
                  <c:v>42294.4</c:v>
                </c:pt>
                <c:pt idx="6">
                  <c:v>60562.200000000004</c:v>
                </c:pt>
              </c:numCache>
            </c:numRef>
          </c:val>
          <c:shape val="box"/>
        </c:ser>
        <c:shape val="box"/>
        <c:axId val="28897423"/>
        <c:axId val="58750216"/>
      </c:bar3DChart>
      <c:catAx>
        <c:axId val="28897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750216"/>
        <c:crosses val="autoZero"/>
        <c:auto val="1"/>
        <c:lblOffset val="100"/>
        <c:tickLblSkip val="1"/>
        <c:noMultiLvlLbl val="0"/>
      </c:catAx>
      <c:valAx>
        <c:axId val="587502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974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325"/>
          <c:w val="0.84125"/>
          <c:h val="0.66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608055.8999999997</c:v>
                </c:pt>
                <c:pt idx="1">
                  <c:v>121928.70000000001</c:v>
                </c:pt>
                <c:pt idx="2">
                  <c:v>31701.800000000003</c:v>
                </c:pt>
                <c:pt idx="3">
                  <c:v>29372.4</c:v>
                </c:pt>
                <c:pt idx="4">
                  <c:v>22288.699999999997</c:v>
                </c:pt>
                <c:pt idx="5">
                  <c:v>730774.2000000001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443746.5999999998</c:v>
                </c:pt>
                <c:pt idx="1">
                  <c:v>56270.5</c:v>
                </c:pt>
                <c:pt idx="2">
                  <c:v>21318.000000000007</c:v>
                </c:pt>
                <c:pt idx="3">
                  <c:v>18188.9</c:v>
                </c:pt>
                <c:pt idx="4">
                  <c:v>16573.3</c:v>
                </c:pt>
                <c:pt idx="5">
                  <c:v>529380.5000000003</c:v>
                </c:pt>
              </c:numCache>
            </c:numRef>
          </c:val>
          <c:shape val="box"/>
        </c:ser>
        <c:shape val="box"/>
        <c:axId val="58989897"/>
        <c:axId val="61147026"/>
      </c:bar3DChart>
      <c:catAx>
        <c:axId val="58989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147026"/>
        <c:crosses val="autoZero"/>
        <c:auto val="1"/>
        <c:lblOffset val="100"/>
        <c:tickLblSkip val="1"/>
        <c:noMultiLvlLbl val="0"/>
      </c:catAx>
      <c:valAx>
        <c:axId val="611470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9898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2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5"/>
  <sheetViews>
    <sheetView tabSelected="1" zoomScale="80" zoomScaleNormal="80" zoomScalePageLayoutView="0" workbookViewId="0" topLeftCell="A1">
      <pane xSplit="1" ySplit="5" topLeftCell="C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29" customWidth="1"/>
    <col min="2" max="2" width="19.00390625" style="29" hidden="1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hidden="1" customWidth="1"/>
    <col min="7" max="7" width="19.625" style="11" customWidth="1"/>
    <col min="8" max="8" width="19.75390625" style="11" hidden="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60" customHeight="1">
      <c r="A1" s="128" t="s">
        <v>111</v>
      </c>
      <c r="B1" s="128"/>
      <c r="C1" s="128"/>
      <c r="D1" s="128"/>
      <c r="E1" s="128"/>
      <c r="F1" s="128"/>
      <c r="G1" s="128"/>
      <c r="H1" s="128"/>
      <c r="I1" s="128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2" t="s">
        <v>44</v>
      </c>
      <c r="B3" s="129" t="s">
        <v>108</v>
      </c>
      <c r="C3" s="129" t="s">
        <v>99</v>
      </c>
      <c r="D3" s="129" t="s">
        <v>23</v>
      </c>
      <c r="E3" s="129" t="s">
        <v>22</v>
      </c>
      <c r="F3" s="129" t="s">
        <v>109</v>
      </c>
      <c r="G3" s="129" t="s">
        <v>101</v>
      </c>
      <c r="H3" s="129" t="s">
        <v>110</v>
      </c>
      <c r="I3" s="129" t="s">
        <v>100</v>
      </c>
    </row>
    <row r="4" spans="1:9" ht="24.75" customHeight="1">
      <c r="A4" s="133"/>
      <c r="B4" s="130"/>
      <c r="C4" s="130"/>
      <c r="D4" s="130"/>
      <c r="E4" s="130"/>
      <c r="F4" s="130"/>
      <c r="G4" s="130"/>
      <c r="H4" s="130"/>
      <c r="I4" s="130"/>
    </row>
    <row r="5" spans="1:9" ht="39" customHeight="1" thickBot="1">
      <c r="A5" s="134"/>
      <c r="B5" s="131"/>
      <c r="C5" s="131"/>
      <c r="D5" s="131"/>
      <c r="E5" s="131"/>
      <c r="F5" s="131"/>
      <c r="G5" s="131"/>
      <c r="H5" s="131"/>
      <c r="I5" s="131"/>
    </row>
    <row r="6" spans="1:9" ht="18.75" thickBot="1">
      <c r="A6" s="22" t="s">
        <v>28</v>
      </c>
      <c r="B6" s="45">
        <f>406799.8+177+726.1</f>
        <v>407702.89999999997</v>
      </c>
      <c r="C6" s="46">
        <f>426773.1+25+188.4+2200.9+6.1-1051.6+141.1+593.1+16568.5+4904.2+177+742.5-1039.7</f>
        <v>450228.6</v>
      </c>
      <c r="D6" s="47">
        <f>332980.2+473.5+94.1+160.7+5895.8+8746.9+145.1+473.2+40.2+1154.4+173.1+6.7+1143.7+6208.9+2190.9+7831.9+213.4+23+0.1+177.3+463+937.8+2899.3+14312.5+4453.1+637.2</f>
        <v>391836.00000000006</v>
      </c>
      <c r="E6" s="3">
        <f>D6/D150*100</f>
        <v>27.708316921777094</v>
      </c>
      <c r="F6" s="3">
        <f>D6/B6*100</f>
        <v>96.10821998077523</v>
      </c>
      <c r="G6" s="3">
        <f aca="true" t="shared" si="0" ref="G6:G43">D6/C6*100</f>
        <v>87.03045519542741</v>
      </c>
      <c r="H6" s="47">
        <f>B6-D6</f>
        <v>15866.899999999907</v>
      </c>
      <c r="I6" s="47">
        <f aca="true" t="shared" si="1" ref="I6:I43">C6-D6</f>
        <v>58392.59999999992</v>
      </c>
    </row>
    <row r="7" spans="1:9" s="37" customFormat="1" ht="18.75">
      <c r="A7" s="104" t="s">
        <v>87</v>
      </c>
      <c r="B7" s="97">
        <v>171592.7</v>
      </c>
      <c r="C7" s="94">
        <f>185717.4+2200.9+593.1-613.8+3218.5</f>
        <v>191116.1</v>
      </c>
      <c r="D7" s="105">
        <f>5419.3+86.3+97.4+56.7+6727.5+560.1+2.9+0.2+1.9+63.8+1046.3+6719.3+1648.4+0.1+3694.8+239.7+583.7+0.6+6625.2+702.1+382.8+87+367+343.9+3400.9+728.9+60.5+24.4+35.2+200.9+3.5+875.7+5583.4+116.6+1.2+51+154.1+185+7008.2+781.4+9+27.4+5784.8+41.1+1904.1+40+25.8+43.2+13765.2+44.5+90.5+6.9+0.2+1354.2+90.1+211.3+7741.1+79.7+0.5+14284+271.3+5.1+51.3+1.4+117.4+5001+4.8+3.6+29.1+10+85+1344.7+5.3+72.4+8.4+114.2+1598.2+12.4+10+0.6+71.9+23.6+2726+15.4+11.3+22.8+1.7+70.2+1.2+45.4+5283.6+78.8+6.1+91.1+0.1+30.3+2.1+5762.1+58.7+48.7+155.4+6389+11.4+1.4-0.1+54.6+5818.7+239.3+186.1+5.5+5.7+7312.3+1+0.4+0.1+463+3.9+0.1+5894.4+625.5+2.6+179.3+359.7+139.1+86.3+6208.9+81.6+31.3+149.5+0.2+177.3+7.2+1163.8+6492.4+1707+3.2</f>
        <v>167265.9</v>
      </c>
      <c r="E7" s="95">
        <f>D7/D6*100</f>
        <v>42.687731601996745</v>
      </c>
      <c r="F7" s="95">
        <f>D7/B7*100</f>
        <v>97.47844750971339</v>
      </c>
      <c r="G7" s="95">
        <f>D7/C7*100</f>
        <v>87.52056995721448</v>
      </c>
      <c r="H7" s="105">
        <f>B7-D7</f>
        <v>4326.8000000000175</v>
      </c>
      <c r="I7" s="105">
        <f t="shared" si="1"/>
        <v>23850.20000000001</v>
      </c>
    </row>
    <row r="8" spans="1:9" ht="18">
      <c r="A8" s="23" t="s">
        <v>3</v>
      </c>
      <c r="B8" s="42">
        <f>284150.9+24.8</f>
        <v>284175.7</v>
      </c>
      <c r="C8" s="43">
        <f>298081.6+593.1+13792.1+24.8</f>
        <v>312491.5999999999</v>
      </c>
      <c r="D8" s="44">
        <f>3665.2+5419.3+4645.9+6727.5+3.3+4022.1+5553.6+3348.6+2163.6+10156.4+7.2+0.6+10315.5+1+3228.6+8514.3+1326+3.5+12.8+5216.4+5594.6+5651.4+7023.1+2.4+8.5+10209.4+23441.7+11+0.7+1305.4+14.8+7741.1+6989.1+14284+12975.3+5001-0.2+978.2+60.6+1860.9+4481.8+5.3+3681.5+988.5+22.2+100.4+5804.9+15.4+5269.5+334.6+4306.4-0.2+58.8+8.9+11058.8+6387.9+7253.1-43.7-0.1+7.7+10883.1+8.3+17919.7+1.3+5894.4+5435.7+7.2+1.5+6208.9+7426+93.3+12435.9+12.8</f>
        <v>293554.1999999999</v>
      </c>
      <c r="E8" s="1">
        <f>D8/D6*100</f>
        <v>74.91761859553483</v>
      </c>
      <c r="F8" s="1">
        <f>D8/B8*100</f>
        <v>103.30024699508083</v>
      </c>
      <c r="G8" s="1">
        <f t="shared" si="0"/>
        <v>93.93986910368149</v>
      </c>
      <c r="H8" s="44">
        <f>B8-D8</f>
        <v>-9378.499999999884</v>
      </c>
      <c r="I8" s="44">
        <f t="shared" si="1"/>
        <v>18937.400000000023</v>
      </c>
    </row>
    <row r="9" spans="1:9" ht="18">
      <c r="A9" s="23" t="s">
        <v>2</v>
      </c>
      <c r="B9" s="42">
        <v>82.4</v>
      </c>
      <c r="C9" s="43">
        <v>85.7</v>
      </c>
      <c r="D9" s="44">
        <f>4+2.9+1.6+0.5+0.5+1.9+1.2+1.8+1.6+0.7+2+3.7+0.1+1.9+2.9+1.2+0.4+1.1+0.2+0.6+1.5+1.7+0.3+0.5+1.3-0.1+0.4+0.3+1.5+2.7+0.5+2.5+7.6+1+1.2+2.8+0.3+0.4+1.5+5.8+1.1+1.7+3+4.1+4.5+0.3</f>
        <v>79.19999999999997</v>
      </c>
      <c r="E9" s="12">
        <f>D9/D6*100</f>
        <v>0.020212537898508548</v>
      </c>
      <c r="F9" s="120">
        <f>D9/B9*100</f>
        <v>96.11650485436888</v>
      </c>
      <c r="G9" s="1">
        <f t="shared" si="0"/>
        <v>92.41540256709449</v>
      </c>
      <c r="H9" s="44">
        <f aca="true" t="shared" si="2" ref="H9:H43">B9-D9</f>
        <v>3.2000000000000313</v>
      </c>
      <c r="I9" s="44">
        <f t="shared" si="1"/>
        <v>6.500000000000028</v>
      </c>
    </row>
    <row r="10" spans="1:9" ht="18">
      <c r="A10" s="23" t="s">
        <v>1</v>
      </c>
      <c r="B10" s="42">
        <f>29629.8-820.3</f>
        <v>28809.5</v>
      </c>
      <c r="C10" s="43">
        <f>28052.9-28-1051.6+141.1+4575.2-820.3-1469.9</f>
        <v>29399.4</v>
      </c>
      <c r="D10" s="48">
        <f>345.3+106.4+54.5+56.4+92.4+115.9+196.4+52.1+68.7+86.2+0.1+55.3+64.8+145.1+546+625.6+89.3+262.4+197+554.9+204.6+131+84.2+167.8+234+244.3+224.6+2.6+720.8+274.8+196.9+92.7+302.2-0.1+54+252.1+59.6+339.9+327.5+6.9+10.8+311+12.3+27.2+155.4+21.3+553+37.1+38.4+755.2+0.1-0.1+264.4+10.5+355.1+1.5+262.2+1.5+789.3+6.1+101.2+159+638.7+417.1+1.5+108.9+0.1+33.2+10.5+429.9+102.7+103.9+244.5+7.4+115.2+99.7+133.5+60+180.5+41.7+0.4+24.4+34.1+43.2+30.5+44.6+164.5+50.6+31+89+73.5+23.5+24.2+171.8+146.2+23.8+262.5+255+84.2+424+114.7+287.8+35.2+180.6+4.9+180.1+666.9+489.9+637.5+6.7+100.8+14.8+555.4+278.4+619.6+549.6+169.5+46.7+56.8+3.8-0.9+36.7+2.9+429.3+455.9+49.9+159.4+28.8+117.9+269.4+317+223.7+903.7+210.1+43.7+21.8+0.3+81+56.5+1402.9+447.3+332.3</f>
        <v>26827.000000000015</v>
      </c>
      <c r="E10" s="1">
        <f>D10/D6*100</f>
        <v>6.8464867954960775</v>
      </c>
      <c r="F10" s="1">
        <f aca="true" t="shared" si="3" ref="F10:F41">D10/B10*100</f>
        <v>93.11858935420612</v>
      </c>
      <c r="G10" s="1">
        <f t="shared" si="0"/>
        <v>91.2501615679232</v>
      </c>
      <c r="H10" s="44">
        <f t="shared" si="2"/>
        <v>1982.4999999999854</v>
      </c>
      <c r="I10" s="44">
        <f t="shared" si="1"/>
        <v>2572.399999999987</v>
      </c>
    </row>
    <row r="11" spans="1:9" ht="18">
      <c r="A11" s="23" t="s">
        <v>0</v>
      </c>
      <c r="B11" s="42">
        <f>64199.2+821.3</f>
        <v>65020.5</v>
      </c>
      <c r="C11" s="43">
        <f>71654.8+3326+821.3</f>
        <v>75802.1</v>
      </c>
      <c r="D11" s="49">
        <f>435.2+111+615.5+123.2+0.2+1.9+63.8+2790+1.3+13.9+1170.1+0.8+3680.6+96.8+2.2+30.4+160.1+658.7+3.6+0.1+13.6+960.9+1669.6+874.3+1539.2+231.8+2136.6+6.8+729.7+312.8+219.9+145.7+390.2+1017.2+39.8+0.1+21+264.2+174.1+1212.5+1026.8+409.3+10.1+150.1+166.6+780.1+0.2+798.9+370.2+0.3+4.5+241.1+133.7+2045.4+40+25.8+712.2+172.5+300.5+9.8+35.6+53.9+72.6-0.1+18.5+39.4+88.9+37.4+86.7+103.9+0.7+146.1+22+54.4+428.7+4.8+64.5+37.6+17.1+170.4+78.7+36.7+4.1+11.1+391+31.5+30.1+0.1+4+19+41.9+3.4+55.5+2+48.7+155.8+15.6+14.9+38+82.3+2.2+28+38.6+83.7+3.3+35.7+338.5+131.2+11.3+33.4+3.7+52+231+36.6+1.5+156.4+221.8+673.5+1.7+0.7+0.5+686.7+13.7+5.5+2489.4+185.4+429.3+130.9+632.9+384.1+21.8+6.3-0.1+168.9+82.5+90.1+1208.9+434.2+3303.6+1.5</f>
        <v>44225.90000000001</v>
      </c>
      <c r="E11" s="1">
        <f>D11/D6*100</f>
        <v>11.286839391990528</v>
      </c>
      <c r="F11" s="1">
        <f t="shared" si="3"/>
        <v>68.01839419875272</v>
      </c>
      <c r="G11" s="1">
        <f t="shared" si="0"/>
        <v>58.34389812419446</v>
      </c>
      <c r="H11" s="44">
        <f t="shared" si="2"/>
        <v>20794.59999999999</v>
      </c>
      <c r="I11" s="44">
        <f t="shared" si="1"/>
        <v>31576.199999999997</v>
      </c>
    </row>
    <row r="12" spans="1:9" ht="18">
      <c r="A12" s="23" t="s">
        <v>14</v>
      </c>
      <c r="B12" s="42">
        <f>13330.4-1455.2</f>
        <v>11875.199999999999</v>
      </c>
      <c r="C12" s="43">
        <f>14712+28-1455.2</f>
        <v>13284.8</v>
      </c>
      <c r="D12" s="44">
        <f>5+12.7+3.8+1250.6+160.8+241+218.1+277.6+20.3+413.8+8.3+240.5+24.8+2.5+338+212.8+1.2+3.8+19.1+319.6+33.1+186+278+233.1+1.2+181.4+178.6+208.7+296.2+195.1+36.2+3.8+12.7+114.5+331.8+187.3+241.1+252+65.5+0.1+9.1+67.9+257.1+135.7+183.8+52.2+8.7+103.4+132.8+254.3+130.9+17.4+13.1+1.8+8.3+691.5+342.5+33.6-0.1+5.4+349.9+499+136.9+32.5+0.1+9.1+0.9+311.8+37.9+285.6+511.7+3.4+6.7+172.1+202.5+8.7</f>
        <v>11828.900000000001</v>
      </c>
      <c r="E12" s="1">
        <f>D12/D6*100</f>
        <v>3.018839514490756</v>
      </c>
      <c r="F12" s="1">
        <f t="shared" si="3"/>
        <v>99.61011182969553</v>
      </c>
      <c r="G12" s="1">
        <f t="shared" si="0"/>
        <v>89.04085872576178</v>
      </c>
      <c r="H12" s="44">
        <f t="shared" si="2"/>
        <v>46.29999999999745</v>
      </c>
      <c r="I12" s="44">
        <f t="shared" si="1"/>
        <v>1455.8999999999978</v>
      </c>
    </row>
    <row r="13" spans="1:9" ht="18.75" thickBot="1">
      <c r="A13" s="23" t="s">
        <v>29</v>
      </c>
      <c r="B13" s="43">
        <f>B6-B8-B9-B10-B11-B12</f>
        <v>17739.599999999962</v>
      </c>
      <c r="C13" s="43">
        <f>C6-C8-C9-C10-C11-C12</f>
        <v>19165.000000000047</v>
      </c>
      <c r="D13" s="43">
        <f>D6-D8-D9-D10-D11-D12</f>
        <v>15320.800000000141</v>
      </c>
      <c r="E13" s="1">
        <f>D13/D6*100</f>
        <v>3.9100031645893027</v>
      </c>
      <c r="F13" s="1">
        <f t="shared" si="3"/>
        <v>86.3649687704355</v>
      </c>
      <c r="G13" s="1">
        <f t="shared" si="0"/>
        <v>79.94156013566452</v>
      </c>
      <c r="H13" s="44">
        <f t="shared" si="2"/>
        <v>2418.799999999821</v>
      </c>
      <c r="I13" s="44">
        <f t="shared" si="1"/>
        <v>3844.199999999906</v>
      </c>
    </row>
    <row r="14" spans="1:9" s="37" customFormat="1" ht="18.75" customHeight="1" hidden="1">
      <c r="A14" s="96" t="s">
        <v>67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</row>
    <row r="15" spans="1:9" s="37" customFormat="1" ht="18.75" customHeight="1" hidden="1">
      <c r="A15" s="96" t="s">
        <v>64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</row>
    <row r="16" spans="1:9" s="37" customFormat="1" ht="19.5" hidden="1" thickBot="1">
      <c r="A16" s="96" t="s">
        <v>65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</row>
    <row r="17" spans="1:9" s="37" customFormat="1" ht="19.5" hidden="1" thickBot="1">
      <c r="A17" s="96" t="s">
        <v>66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</row>
    <row r="18" spans="1:9" ht="18.75" thickBot="1">
      <c r="A18" s="22" t="s">
        <v>19</v>
      </c>
      <c r="B18" s="45">
        <f>238549.9-102.3+771.4+0.1</f>
        <v>239219.1</v>
      </c>
      <c r="C18" s="46">
        <f>250434.1+666.5+2890.8+76.6+110+6034+513.1+12.9-102.3+425</f>
        <v>261060.7</v>
      </c>
      <c r="D18" s="47">
        <f>5722.2+538+9070.5+238.7+827+135.9+565.7+282.3+195.5+508.6+5725.7+2584.4+8528.6+385.3+454.2+396.4+0.1+214+265.2+269.5+0.5+8027.1+27.9+93.7+5939.2+5138.8+56+477.3+131.9+9+0.1+1436.1+8061.5+2.5+534.2+673.6+6.2+8039.3+2467.1+4.9+257.2+37.3-0.1+78.2+1.3+4.3+6209+1529+9.3+345+3.7+11.2+1210.1+3+10814+393.8+312.6-0.1+17+1119+74+6482.1+806.9+928.2+379.8+9759+2006.1+100.2-0.2+2.3+43.5+4468.5+5631.4+279.6+1167.1+10779.2+6.2+53.7+96+84.8+3.2+3.9+807.5+4.9+6965.8+706.9+14.6+299.9+39+356.1+905.6+18.4+5278.9+4480.6+13+2.3+0.2+1.2+138+156.5+0.9+1007.9+6309.6+1.9+11.6+1274.5+3.3+9.8+9135+1038+13.4+179.9+6951.5+215+299.4+5+52.8+6881.4+4006.9+52.5+0.7+0.1+106+1041.7+311.7+34.6+6282.6+1181.1+3+2.6+1652.6+596.2+7+5652.5+4804.1+318+14.3+918.9+92.1+9626.1+260.8+98.7+86.7</f>
        <v>234276.80000000005</v>
      </c>
      <c r="E18" s="3">
        <f>D18/D150*100</f>
        <v>16.566665191099816</v>
      </c>
      <c r="F18" s="3">
        <f>D18/B18*100</f>
        <v>97.93398604041235</v>
      </c>
      <c r="G18" s="3">
        <f t="shared" si="0"/>
        <v>89.74035540393481</v>
      </c>
      <c r="H18" s="47">
        <f>B18-D18</f>
        <v>4942.299999999959</v>
      </c>
      <c r="I18" s="47">
        <f t="shared" si="1"/>
        <v>26783.899999999965</v>
      </c>
    </row>
    <row r="19" spans="1:9" s="37" customFormat="1" ht="18.75">
      <c r="A19" s="104" t="s">
        <v>88</v>
      </c>
      <c r="B19" s="97">
        <v>173936.1</v>
      </c>
      <c r="C19" s="94">
        <f>188049.2+2890.8+579.6+12.9</f>
        <v>191532.5</v>
      </c>
      <c r="D19" s="105">
        <f>5722.2+537+5375.9+205.8+772.6+85.2+565.7+282.3+110.6+420+5725.7+2458.6+4587.6+87.8+415.3+396.4+207.1+48.5+226+0.5+7534.4+5939.2+109.6+53.8+253.7+52.6+9+0.1+1269.6+7891.8+2.5+349.5+267.7+2.8+4392.2+294.9+4.9+208.1+6.9+6.3+1.3+6209+1390.7+9.3+345+3.7+11.2+1094.2+3+6313.1+20+86.1+17-25.1+974.7+16.3+6468+487.6+730.6+313.4+5778+1842.4+100.2-0.2+35.6+4468.5+3624.8+212.2+797.1+6508.9+6.2+53.7+88.5+53.8+3+644.8+4.9+6932.5+706.9+14.6+124.5+13.9+691.2+16.6+5278.9+241.2+4.4-0.1+130.4+0.7+0.5+822.9+6309.6+1.9+11.6+827.6+3.3+8+6151.8+130.2+5.6+179.9+6951.5+3.3+299.4+5+6881.4+9.8+11.6+0.5-2.3+106+1041.7+5.3+34.6+6282.6+763.5+1.2+1097.3+5625.2+503.1+138.8+14.3+918.9+92.1+9429.1+257.7+72.3+8.7</f>
        <v>174733.09999999998</v>
      </c>
      <c r="E19" s="95">
        <f>D19/D18*100</f>
        <v>74.58403905124193</v>
      </c>
      <c r="F19" s="95">
        <f t="shared" si="3"/>
        <v>100.45821425224548</v>
      </c>
      <c r="G19" s="95">
        <f t="shared" si="0"/>
        <v>91.22895592131883</v>
      </c>
      <c r="H19" s="105">
        <f t="shared" si="2"/>
        <v>-796.9999999999709</v>
      </c>
      <c r="I19" s="105">
        <f t="shared" si="1"/>
        <v>16799.400000000023</v>
      </c>
    </row>
    <row r="20" spans="1:9" ht="18">
      <c r="A20" s="23" t="s">
        <v>5</v>
      </c>
      <c r="B20" s="42">
        <f>174067.6+926.9+771.4</f>
        <v>175765.9</v>
      </c>
      <c r="C20" s="43">
        <f>186641.3+2944.5+1636.3</f>
        <v>191222.09999999998</v>
      </c>
      <c r="D20" s="44">
        <f>5722.2+1+8655.9+32.9+2.4+5725.7+8251+357.7+0.1+5829.5+27.9+3957+4812.9+26.7+6036.7+16.8+6839+2416.2+22.3+6209+10229+319.3+6468+9728.3+1605.6+3790.5+3239.9+10406.4+0.1+6965.8+3+5278.9+3995.6+0.1+6242.7+6151.8+883.1+1990.1+6252.1+3.3+5936.1+3370.3+6282.6+5625.2+3940.4+6897.7+28.8</f>
        <v>180577.6</v>
      </c>
      <c r="E20" s="1">
        <f>D20/D18*100</f>
        <v>77.07873763001713</v>
      </c>
      <c r="F20" s="1">
        <f t="shared" si="3"/>
        <v>102.73756172272324</v>
      </c>
      <c r="G20" s="1">
        <f t="shared" si="0"/>
        <v>94.43343630260311</v>
      </c>
      <c r="H20" s="44">
        <f t="shared" si="2"/>
        <v>-4811.700000000012</v>
      </c>
      <c r="I20" s="44">
        <f t="shared" si="1"/>
        <v>10644.49999999997</v>
      </c>
    </row>
    <row r="21" spans="1:9" ht="18">
      <c r="A21" s="23" t="s">
        <v>2</v>
      </c>
      <c r="B21" s="42">
        <f>21236.8+19.7-1029.2</f>
        <v>20227.3</v>
      </c>
      <c r="C21" s="43">
        <f>20454.1+500+110+1045.6+41+22.7-1738.6+1556.3-8</f>
        <v>21983.1</v>
      </c>
      <c r="D21" s="44">
        <f>80.5+183.6+169.4+194.4+100+1.7+148.4+215.7+278.3+117.8+152.1+196.9+0.1+12.4+249.4+61.7+746.5+93.7+472.5+302.1+275.1+81.6+3.9+35+464.9+2.5+307.7+447+3.4+846+41.6+81.5+37.3+0.2+71.8+4.3+281.4+8.6+37.8+540.8+303.1+41.5+125.6+0.1+385.5+30+578.3+388.2+197.1+2.6+69.3+4.6+1.6+2146+165.2+545.7+294.3+32.8+88.5+1.1+3+277.3+263.6+9.5+247.8+39+257.7+357.6+16.6+213.8+6.3+2.3+15.7+121+473.1+421.2+265.3+662.7+47.1+1+217+189.1+64.2+52.8+268.3+247.3+5.2+0.1+305+0.3+507.1+593+42.6+7+27.3+448.8+265.6+26.9+81.3+599+22.6+26.4+82.2</f>
        <v>20531.39999999999</v>
      </c>
      <c r="E21" s="1">
        <f>D21/D18*100</f>
        <v>8.763735888487458</v>
      </c>
      <c r="F21" s="1">
        <f t="shared" si="3"/>
        <v>101.50341370326237</v>
      </c>
      <c r="G21" s="1">
        <f t="shared" si="0"/>
        <v>93.39629078701363</v>
      </c>
      <c r="H21" s="44">
        <f t="shared" si="2"/>
        <v>-304.09999999999127</v>
      </c>
      <c r="I21" s="44">
        <f t="shared" si="1"/>
        <v>1451.700000000008</v>
      </c>
    </row>
    <row r="22" spans="1:9" ht="18">
      <c r="A22" s="23" t="s">
        <v>1</v>
      </c>
      <c r="B22" s="42">
        <v>4140</v>
      </c>
      <c r="C22" s="43">
        <f>3917.9+592.8</f>
        <v>4510.7</v>
      </c>
      <c r="D22" s="44">
        <f>127.7+23.6+33.5+86.7+19.5+2.9+68.3+78.1+10.6+165.4+2.5+15.8+6.5+60.2+104.3+141.7+2.3+23.7+90.2+22.1+28.3+93.7+27.2-0.1+0.2+54.7+9.9+37.6+110.2+182.3+0.1+39.2+35.9+64.9+14.2+28+147.6+14.5+0.1+67.9+38.7+142.7+29+23+176.1+16.8+117.5+127.9+4.9+25.4+0.3+70.1+52.4+60.2+167.6+9.3+4.7+70.1+97.5+141.1+197.6+16+37.2+73.8+102.3+177.4+0.1+28.4+76.3+17.3+0.8</f>
        <v>4144.500000000001</v>
      </c>
      <c r="E22" s="1">
        <f>D22/D18*100</f>
        <v>1.7690612130607897</v>
      </c>
      <c r="F22" s="1">
        <f t="shared" si="3"/>
        <v>100.10869565217394</v>
      </c>
      <c r="G22" s="1">
        <f t="shared" si="0"/>
        <v>91.88152614893478</v>
      </c>
      <c r="H22" s="44">
        <f t="shared" si="2"/>
        <v>-4.5000000000009095</v>
      </c>
      <c r="I22" s="44">
        <f t="shared" si="1"/>
        <v>366.1999999999989</v>
      </c>
    </row>
    <row r="23" spans="1:9" ht="18">
      <c r="A23" s="23" t="s">
        <v>0</v>
      </c>
      <c r="B23" s="42">
        <f>24861.4-822.6</f>
        <v>24038.800000000003</v>
      </c>
      <c r="C23" s="43">
        <f>27804.4+1919-1532</f>
        <v>28191.4</v>
      </c>
      <c r="D23" s="44">
        <f>230.7+158.8+520.8+110.9+465.7+246.3+3.9+169.6+1975.3+126.5+2+97.4+199.5+165.4+184.4+1288.4+1114.2+20.1+11.6+1104.8+1285.8+113+130.6+146.2+28.7+1001+189.4+3.7+11.2+527.3+61.2-0.1+17+472.5+16.3+18.8+256.5+97.1+20+6.8+539.1+17+343.6+6.8+6.2+20.1+389.8+0.6+59.7+2.8+5.5+357.8+1.8+25.1+1.8+67.4+0.3+313.9+1.4+11.6+353.8+1.3+9.8+40+0.6+7.8-7.8+18.1+333.9+6.4+365.2+149.9+2.3+84.7+631.5+300.2+28.1+473.4+1.8+2.6+742.2+16.5+84.5-12.9+12.9+811.8+10.8+1793.8+175.6+34.6+2.4</f>
        <v>21247.39999999999</v>
      </c>
      <c r="E23" s="1">
        <f>D23/D18*100</f>
        <v>9.069357273105995</v>
      </c>
      <c r="F23" s="1">
        <f t="shared" si="3"/>
        <v>88.38793949781181</v>
      </c>
      <c r="G23" s="1">
        <f t="shared" si="0"/>
        <v>75.36837475258409</v>
      </c>
      <c r="H23" s="44">
        <f t="shared" si="2"/>
        <v>2791.4000000000124</v>
      </c>
      <c r="I23" s="44">
        <f t="shared" si="1"/>
        <v>6944.000000000011</v>
      </c>
    </row>
    <row r="24" spans="1:9" ht="18">
      <c r="A24" s="23" t="s">
        <v>14</v>
      </c>
      <c r="B24" s="42">
        <f>1506-56.9</f>
        <v>1449.1</v>
      </c>
      <c r="C24" s="43">
        <f>1591.6+29.5-66.9</f>
        <v>1554.1999999999998</v>
      </c>
      <c r="D24" s="44">
        <f>73.6+22.6+5.3+2.4+2.5+128.1+0.1+11.5+121.2+11.2-0.1+27.3+71.1+31.4-0.1+0.8+24.6+83.5+19.6+26.5+24.2+67.9+2.3+4+48.1+8.9+75.1+2+0.1+126.5+0.8+36.4+6.5+68.6+1.9+11.7+18.6+90+2.2+13.7+46.9+77.6-0.1+37.1+4.9</f>
        <v>1439</v>
      </c>
      <c r="E24" s="1">
        <f>D24/D18*100</f>
        <v>0.6142306878017797</v>
      </c>
      <c r="F24" s="1">
        <f t="shared" si="3"/>
        <v>99.30301566489545</v>
      </c>
      <c r="G24" s="1">
        <f t="shared" si="0"/>
        <v>92.58782653455155</v>
      </c>
      <c r="H24" s="44">
        <f t="shared" si="2"/>
        <v>10.099999999999909</v>
      </c>
      <c r="I24" s="44">
        <f t="shared" si="1"/>
        <v>115.19999999999982</v>
      </c>
    </row>
    <row r="25" spans="1:9" ht="18.75" thickBot="1">
      <c r="A25" s="23" t="s">
        <v>29</v>
      </c>
      <c r="B25" s="43">
        <f>B18-B20-B21-B22-B23-B24</f>
        <v>13598.000000000005</v>
      </c>
      <c r="C25" s="43">
        <f>C18-C20-C21-C22-C23-C24</f>
        <v>13599.200000000037</v>
      </c>
      <c r="D25" s="43">
        <f>D18-D20-D21-D22-D23-D24</f>
        <v>6336.900000000056</v>
      </c>
      <c r="E25" s="1">
        <f>D25/D18*100</f>
        <v>2.7048773075268464</v>
      </c>
      <c r="F25" s="1">
        <f t="shared" si="3"/>
        <v>46.601706133255284</v>
      </c>
      <c r="G25" s="1">
        <f t="shared" si="0"/>
        <v>46.59759397611653</v>
      </c>
      <c r="H25" s="44">
        <f t="shared" si="2"/>
        <v>7261.099999999949</v>
      </c>
      <c r="I25" s="44">
        <f t="shared" si="1"/>
        <v>7262.299999999981</v>
      </c>
    </row>
    <row r="26" spans="1:9" ht="57" hidden="1" thickBot="1">
      <c r="A26" s="96" t="s">
        <v>75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76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77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78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79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80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81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9" ht="18.75" thickBot="1">
      <c r="A33" s="22" t="s">
        <v>17</v>
      </c>
      <c r="B33" s="45">
        <f>45284.5+623.2</f>
        <v>45907.7</v>
      </c>
      <c r="C33" s="46">
        <f>50266.1+19.2-3069.6+1137.5+1480.3+40-40+150+753.5</f>
        <v>50737</v>
      </c>
      <c r="D33" s="50">
        <f>1335+343.1+78.5+19.5+60.6+1286.4+5+525.1+62.5+112+1.7+1386+0.2+29.8+71.3+135.1+1382.9+3.4+310.7+57+0.3+439.8+201.8+26+5.1+1392.8+7+56.1+51.9+135.1+11.7-3.2+231.8+1414.3+16.9+11-0.2+603.2+0.2+19+81.6+9.6+1371.8+10.2+14.9+146.8+30.2+36.2+1344.1+263.3+76.8+0.3+429.2+64.9+5.5+1381.4+16.8+54.9+51.2+207.6+15.4+126.4+15.3+9.8+0.5+34.2+1655.6+70.2+2.8+42.6+12.1+525+37+13.4+40.6+24.8+3972.2+0.4+148.2+0.1+42.9+0.5+23.8+2824.4+23.3+10.5+0.1+74+543.8+10.7+40.3+47.5+14.7+430.8+3.7+24.6+81+9.2+0.1+1.7+6.9+338+13.7+0.5-0.8+0.1+119.8+55.7+503.4+95.1+362.5+0.1+0.4+10.4+116+10.7+70.1+52.4+38.6+1137.3+0.2+58.6+205.7+61.8+0.5+21.5+0.1+1406.8+8.9+79.1+1.7+60.6+3.3+48.7+268.9+1582+26.6+38-76+120.9+152.8+6.6+6+1422.9+3.8+0.2+60.7+4.5+56.1+22.2+23.9+19.9+0.3+1776.6+10.6+0.3+13.6+170+1.2+164.4+3.2+0.4+378.1+1161.2+116.7+0.6+51.3+106.3+2.9+90.8+1490.5+21.8-0.1+56.8+297.7+2.3+86.9+1885+39</f>
        <v>44934.700000000004</v>
      </c>
      <c r="E33" s="3">
        <f>D33/D150*100</f>
        <v>3.1775153594487926</v>
      </c>
      <c r="F33" s="3">
        <f>D33/B33*100</f>
        <v>97.88052984575573</v>
      </c>
      <c r="G33" s="3">
        <f t="shared" si="0"/>
        <v>88.56396712458364</v>
      </c>
      <c r="H33" s="47">
        <f t="shared" si="2"/>
        <v>972.9999999999927</v>
      </c>
      <c r="I33" s="47">
        <f t="shared" si="1"/>
        <v>5802.299999999996</v>
      </c>
    </row>
    <row r="34" spans="1:9" ht="18">
      <c r="A34" s="23" t="s">
        <v>3</v>
      </c>
      <c r="B34" s="42">
        <f>32914+0.2</f>
        <v>32914.2</v>
      </c>
      <c r="C34" s="43">
        <f>35016.6+195.2+1137.5</f>
        <v>36349.299999999996</v>
      </c>
      <c r="D34" s="44">
        <f>1335+1268.2+1354.9+1304.2+1357+1359.6+1365.6+1342.2+1381.4+3.9+1624.5+11.9+0.1+10+3950.5+2820.4+0.1+74+93.6+20+430.6+329.1+0.1+119.6+19.5+358.3+39+1137.3+0.1+58.6+10+1391+48.8+259.9+1234.6+4.8+1421.2+1707.9+0.3+279.3+1161.2+1481.7+0.1+1691.7</f>
        <v>33861.79999999999</v>
      </c>
      <c r="E34" s="1">
        <f>D34/D33*100</f>
        <v>75.35779698095233</v>
      </c>
      <c r="F34" s="1">
        <f t="shared" si="3"/>
        <v>102.8790005529528</v>
      </c>
      <c r="G34" s="1">
        <f t="shared" si="0"/>
        <v>93.15667701991508</v>
      </c>
      <c r="H34" s="44">
        <f t="shared" si="2"/>
        <v>-947.5999999999913</v>
      </c>
      <c r="I34" s="44">
        <f t="shared" si="1"/>
        <v>2487.5000000000073</v>
      </c>
    </row>
    <row r="35" spans="1:9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</row>
    <row r="36" spans="1:9" ht="18">
      <c r="A36" s="23" t="s">
        <v>0</v>
      </c>
      <c r="B36" s="42">
        <v>2769.6</v>
      </c>
      <c r="C36" s="43">
        <v>3384.4</v>
      </c>
      <c r="D36" s="44">
        <f>10.5+61.2+112+1.1+10.5+29.3+0.6+6.8+9.7+3.4+19.2+41.9-0.2+31.7+187.3+26+0.6+2.4+24.9+11.7+8.1+0.1+179+19+1+1.3+0.4+1.8+4.5+241.4+76.8+24.3+5.1+0.7+0.9+17.4+1.9+1.5+0.3+21.8+2.3+2+18.1+0.3+0.3+0.1+3+3.8+0.3+2+1.3+8.7-0.1+0.3+1.1+0.2+0.6+0.2+4.1+1+0.7+4.7+0.4+0.3+0.2+1+0.1+1.5+0.1+1.7+6.6+0.5+2.2+3.8+2.7+1.2+9+4.1+1.8+0.3+0.2+5.6+0.9+0.7+0.3+11.3+12+0.3+0.7+3.1+13.6+22.8+18.5+3.2+0.4+59.1+7.3+21.4+6-1.4+98.1+0.3+46.7+103.1+11.4</f>
        <v>1735.999999999999</v>
      </c>
      <c r="E36" s="1">
        <f>D36/D33*100</f>
        <v>3.86338397719357</v>
      </c>
      <c r="F36" s="1">
        <f t="shared" si="3"/>
        <v>62.6805314846909</v>
      </c>
      <c r="G36" s="1">
        <f t="shared" si="0"/>
        <v>51.294173265571416</v>
      </c>
      <c r="H36" s="44">
        <f t="shared" si="2"/>
        <v>1033.6000000000008</v>
      </c>
      <c r="I36" s="44">
        <f t="shared" si="1"/>
        <v>1648.400000000001</v>
      </c>
    </row>
    <row r="37" spans="1:9" s="37" customFormat="1" ht="18.75">
      <c r="A37" s="18" t="s">
        <v>7</v>
      </c>
      <c r="B37" s="51">
        <f>915.3+50</f>
        <v>965.3</v>
      </c>
      <c r="C37" s="52">
        <f>929.3+40-40+180.3</f>
        <v>1109.6</v>
      </c>
      <c r="D37" s="53">
        <f>11.2+19.5+15.2+5+5.7-0.1+1.9+5.1+7+0.3+7.7+25.8+82+15.4+14.3+13.2+14.4+42.6+0.1+37.6+3+2.6+0.8+1.6+3.9+98.6+0.5+15.5+1.7+3.3+166.5+5.9+37.9+118.4+6.4+2.7+15.3+30.5+7.5+1.2+1.8+21.8+0.1+8+2</f>
        <v>881.4</v>
      </c>
      <c r="E37" s="17">
        <f>D37/D33*100</f>
        <v>1.9615130400336485</v>
      </c>
      <c r="F37" s="17">
        <f t="shared" si="3"/>
        <v>91.30840153320212</v>
      </c>
      <c r="G37" s="17">
        <f t="shared" si="0"/>
        <v>79.43403028118242</v>
      </c>
      <c r="H37" s="53">
        <f t="shared" si="2"/>
        <v>83.89999999999998</v>
      </c>
      <c r="I37" s="53">
        <f t="shared" si="1"/>
        <v>228.19999999999993</v>
      </c>
    </row>
    <row r="38" spans="1:9" ht="18">
      <c r="A38" s="23" t="s">
        <v>14</v>
      </c>
      <c r="B38" s="42">
        <v>55.7</v>
      </c>
      <c r="C38" s="43">
        <v>60.8</v>
      </c>
      <c r="D38" s="43">
        <f>5.1+5.1+5.1+5.1+5.1+4.8+24.8+5.1</f>
        <v>60.2</v>
      </c>
      <c r="E38" s="1">
        <f>D38/D33*100</f>
        <v>0.13397218630590613</v>
      </c>
      <c r="F38" s="1">
        <f t="shared" si="3"/>
        <v>108.07899461400359</v>
      </c>
      <c r="G38" s="1">
        <f t="shared" si="0"/>
        <v>99.01315789473685</v>
      </c>
      <c r="H38" s="44">
        <f t="shared" si="2"/>
        <v>-4.5</v>
      </c>
      <c r="I38" s="44">
        <f t="shared" si="1"/>
        <v>0.5999999999999943</v>
      </c>
    </row>
    <row r="39" spans="1:9" ht="18.75" thickBot="1">
      <c r="A39" s="23" t="s">
        <v>29</v>
      </c>
      <c r="B39" s="42">
        <f>B33-B34-B36-B37-B35-B38</f>
        <v>9202.9</v>
      </c>
      <c r="C39" s="42">
        <f>C33-C34-C36-C37-C35-C38</f>
        <v>9832.900000000005</v>
      </c>
      <c r="D39" s="42">
        <f>D33-D34-D36-D37-D35-D38</f>
        <v>8395.300000000016</v>
      </c>
      <c r="E39" s="1">
        <f>D39/D33*100</f>
        <v>18.683333815514548</v>
      </c>
      <c r="F39" s="1">
        <f t="shared" si="3"/>
        <v>91.22450531897572</v>
      </c>
      <c r="G39" s="1">
        <f t="shared" si="0"/>
        <v>85.37969469841056</v>
      </c>
      <c r="H39" s="44">
        <f>B39-D39</f>
        <v>807.599999999984</v>
      </c>
      <c r="I39" s="44">
        <f t="shared" si="1"/>
        <v>1437.5999999999894</v>
      </c>
    </row>
    <row r="40" spans="1:9" ht="19.5" hidden="1" thickBot="1">
      <c r="A40" s="96" t="s">
        <v>72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</row>
    <row r="41" spans="1:9" ht="19.5" hidden="1" thickBot="1">
      <c r="A41" s="96" t="s">
        <v>73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</row>
    <row r="42" spans="1:9" ht="19.5" hidden="1" thickBot="1">
      <c r="A42" s="96" t="s">
        <v>74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</row>
    <row r="43" spans="1:9" ht="19.5" thickBot="1">
      <c r="A43" s="13" t="s">
        <v>16</v>
      </c>
      <c r="B43" s="98">
        <v>1317.2</v>
      </c>
      <c r="C43" s="46">
        <f>829.5+61+9+3+3+433+103+40</f>
        <v>1481.5</v>
      </c>
      <c r="D43" s="47">
        <f>22.2+3+5+12.1+5.3+62.1+8.7+22.7+11.7+44.1-0.1+8.7+8.3+9+2+12.1+30.9+11+14.3+28.5+0.1+1.2+34+0.6+0.1+2.3+3+1.5+17.9+19.5+82.4-0.1+0.8+8.4+18.6+22.3+0.1+13.7+8+9.3+10.6+0.7+8+22.7+7+24+0.8+46.6-0.1+44.2+12+12.3+28.6+7.7+3+7.3+6.3+20.4+6+23.8+26.5+12+34.6+25+3.3+5.6+50.7+4.5+14.7+4.9+17.2+42.3+3.3+17.7+18.2+6.1+52.1+69.6</f>
        <v>1265.5</v>
      </c>
      <c r="E43" s="3">
        <f>D43/D150*100</f>
        <v>0.08948865102876945</v>
      </c>
      <c r="F43" s="3">
        <f>D43/B43*100</f>
        <v>96.07500759186152</v>
      </c>
      <c r="G43" s="3">
        <f t="shared" si="0"/>
        <v>85.4201822477219</v>
      </c>
      <c r="H43" s="47">
        <f t="shared" si="2"/>
        <v>51.700000000000045</v>
      </c>
      <c r="I43" s="47">
        <f t="shared" si="1"/>
        <v>216</v>
      </c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48</v>
      </c>
      <c r="B45" s="45">
        <v>7026.5</v>
      </c>
      <c r="C45" s="46">
        <f>7741.6+45.3</f>
        <v>7786.900000000001</v>
      </c>
      <c r="D45" s="47">
        <f>224.1+260.8+14.4+236.4+3.2+114.6+291.3+0.1+96+241.4+13.4+0.1+331+0.7-0.1+39.8+268.9+0.5+9.3+307.6+278.3+1.8+5.2+302.3+9.3+4.6+275.3+25.3+352.3+6.4+0.1+14.8+50.6+5.2+267.1+7.9+293.7+39+18+185.4+5.5+5.1+343.4-0.1+16.4+242.5+9.9+311.7+242+0.2+6.6+3.4+1+383.3+42.7+215+1.4+13.2+3.2+341.3-0.1+66.2+318.3+21.7</f>
        <v>7189.899999999998</v>
      </c>
      <c r="E45" s="3">
        <f>D45/D150*100</f>
        <v>0.5084270660069137</v>
      </c>
      <c r="F45" s="3">
        <f>D45/B45*100</f>
        <v>102.32548210346542</v>
      </c>
      <c r="G45" s="3">
        <f aca="true" t="shared" si="4" ref="G45:G76">D45/C45*100</f>
        <v>92.33327768431593</v>
      </c>
      <c r="H45" s="47">
        <f>B45-D45</f>
        <v>-163.39999999999782</v>
      </c>
      <c r="I45" s="47">
        <f aca="true" t="shared" si="5" ref="I45:I77">C45-D45</f>
        <v>597.0000000000027</v>
      </c>
    </row>
    <row r="46" spans="1:9" ht="18">
      <c r="A46" s="23" t="s">
        <v>3</v>
      </c>
      <c r="B46" s="42">
        <v>6177.3</v>
      </c>
      <c r="C46" s="43">
        <v>6753.6</v>
      </c>
      <c r="D46" s="44">
        <f>224.1+258.6+235.3+288.8+241.4+328.6+224.6+306.6+239.4+298.3+269.8+13.5+346.9+45.8+263.2+291.7-0.1+38.6+180.3+343.4+215.2+305.6+213.9+383.3+0.1+215+341.3+258.8</f>
        <v>6372.000000000001</v>
      </c>
      <c r="E46" s="1">
        <f>D46/D45*100</f>
        <v>88.62432022698512</v>
      </c>
      <c r="F46" s="1">
        <f aca="true" t="shared" si="6" ref="F46:F74">D46/B46*100</f>
        <v>103.1518624641834</v>
      </c>
      <c r="G46" s="1">
        <f t="shared" si="4"/>
        <v>94.3496801705757</v>
      </c>
      <c r="H46" s="44">
        <f aca="true" t="shared" si="7" ref="H46:H74">B46-D46</f>
        <v>-194.70000000000073</v>
      </c>
      <c r="I46" s="44">
        <f t="shared" si="5"/>
        <v>381.59999999999945</v>
      </c>
    </row>
    <row r="47" spans="1:9" ht="18">
      <c r="A47" s="23" t="s">
        <v>2</v>
      </c>
      <c r="B47" s="42">
        <v>1.3</v>
      </c>
      <c r="C47" s="43">
        <v>1.3</v>
      </c>
      <c r="D47" s="44">
        <f>0.3+0.4+0.1+0.3+0.2</f>
        <v>1.2999999999999998</v>
      </c>
      <c r="E47" s="1">
        <f>D47/D45*100</f>
        <v>0.01808091906702458</v>
      </c>
      <c r="F47" s="1">
        <f t="shared" si="6"/>
        <v>99.99999999999997</v>
      </c>
      <c r="G47" s="1">
        <f t="shared" si="4"/>
        <v>99.99999999999997</v>
      </c>
      <c r="H47" s="44">
        <f t="shared" si="7"/>
        <v>0</v>
      </c>
      <c r="I47" s="44">
        <f t="shared" si="5"/>
        <v>0</v>
      </c>
    </row>
    <row r="48" spans="1:9" ht="18">
      <c r="A48" s="23" t="s">
        <v>1</v>
      </c>
      <c r="B48" s="42">
        <v>56.4</v>
      </c>
      <c r="C48" s="43">
        <v>70.7</v>
      </c>
      <c r="D48" s="44">
        <f>0.2+2.1+0.1+6.5+6.7-0.1+7+4.6+1.6+2+4.6+6.4-0.1+6.3+6.5</f>
        <v>54.4</v>
      </c>
      <c r="E48" s="1">
        <f>D48/D45*100</f>
        <v>0.7566169209585671</v>
      </c>
      <c r="F48" s="1">
        <f t="shared" si="6"/>
        <v>96.45390070921985</v>
      </c>
      <c r="G48" s="1">
        <f t="shared" si="4"/>
        <v>76.94483734087694</v>
      </c>
      <c r="H48" s="44">
        <f t="shared" si="7"/>
        <v>2</v>
      </c>
      <c r="I48" s="44">
        <f t="shared" si="5"/>
        <v>16.300000000000004</v>
      </c>
    </row>
    <row r="49" spans="1:9" ht="18">
      <c r="A49" s="23" t="s">
        <v>0</v>
      </c>
      <c r="B49" s="42">
        <v>470.1</v>
      </c>
      <c r="C49" s="43">
        <f>568.5+40.5</f>
        <v>609</v>
      </c>
      <c r="D49" s="44">
        <f>2.2+2.5+0.8+112.4+2.2+0.1+69.1+4.4-0.1+35.2+27.4+4.8+1+22.3+2.5+1.6+0.6+4.2-0.1+0.5+5.1+0.3+0.5+1.6+0.3+1.5+1.7+0.6+5.1+18.9+9.9+66.2+30.6</f>
        <v>435.9000000000001</v>
      </c>
      <c r="E49" s="1">
        <f>D49/D45*100</f>
        <v>6.062671247166167</v>
      </c>
      <c r="F49" s="1">
        <f t="shared" si="6"/>
        <v>92.72495213784303</v>
      </c>
      <c r="G49" s="1">
        <f t="shared" si="4"/>
        <v>71.57635467980296</v>
      </c>
      <c r="H49" s="44">
        <f t="shared" si="7"/>
        <v>34.19999999999993</v>
      </c>
      <c r="I49" s="44">
        <f t="shared" si="5"/>
        <v>173.0999999999999</v>
      </c>
    </row>
    <row r="50" spans="1:9" ht="18.75" thickBot="1">
      <c r="A50" s="23" t="s">
        <v>29</v>
      </c>
      <c r="B50" s="43">
        <f>B45-B46-B49-B48-B47</f>
        <v>321.3999999999998</v>
      </c>
      <c r="C50" s="43">
        <f>C45-C46-C49-C48-C47</f>
        <v>352.3000000000002</v>
      </c>
      <c r="D50" s="43">
        <f>D45-D46-D49-D48-D47</f>
        <v>326.2999999999968</v>
      </c>
      <c r="E50" s="1">
        <f>D50/D45*100</f>
        <v>4.5383106858231255</v>
      </c>
      <c r="F50" s="1">
        <f t="shared" si="6"/>
        <v>101.52457996266241</v>
      </c>
      <c r="G50" s="1">
        <f t="shared" si="4"/>
        <v>92.61992619926104</v>
      </c>
      <c r="H50" s="44">
        <f t="shared" si="7"/>
        <v>-4.899999999997021</v>
      </c>
      <c r="I50" s="44">
        <f t="shared" si="5"/>
        <v>26.000000000003354</v>
      </c>
    </row>
    <row r="51" spans="1:9" ht="18.75" thickBot="1">
      <c r="A51" s="22" t="s">
        <v>4</v>
      </c>
      <c r="B51" s="45">
        <f>15003.4+380+298</f>
        <v>15681.4</v>
      </c>
      <c r="C51" s="46">
        <f>16075.7+36.8+200+828.6-580+380+298</f>
        <v>17239.1</v>
      </c>
      <c r="D51" s="47">
        <f>8+294.9+37.1+10.7+29.1+464+10.3+76.6+3.8+16.5+359.8+101.4+28.4+17.4+423.7+90.6+34.9+37+0.1+9.1+9.3+297.9+22+64.6+70.7+6+66.1+10+1+492.9+75.6+12.9+0.1+89.4+151.6+362.5+3.6+52.3+5.5+47.6+477.8+131.7+10.9+138.5+313.4+75.2+80.2+4.9+57.7+92.3+667.1+12.7+3.5+40+122.9+42.7+443+56.4+3.7+3.4+5.5+866.9+90.5-0.1+0.5+13.2+568.7+43.8+0.1+3.6+6.8+11.8+1+498.5-0.1+7+169.4+132.8+32.5+33.2+426.2-0.1+3.9+0.6+340.5+72.9+24.9+19.4+12.8+603.4+6.8+0.4+39+2+396.8+40+53.9+27.4+23.9+106.1+676.8-0.1+36.8+55.2+63.1+432.8+43.7+24.8+3.1+35.9+40.3+23.9+21.4+763.7+34.3+0.1+94.7+3.2+625.8+400</f>
        <v>14738.899999999989</v>
      </c>
      <c r="E51" s="3">
        <f>D51/D150*100</f>
        <v>1.0422475532579447</v>
      </c>
      <c r="F51" s="3">
        <f>D51/B51*100</f>
        <v>93.9896947976583</v>
      </c>
      <c r="G51" s="3">
        <f t="shared" si="4"/>
        <v>85.49692269317998</v>
      </c>
      <c r="H51" s="47">
        <f>B51-D51</f>
        <v>942.5000000000109</v>
      </c>
      <c r="I51" s="47">
        <f t="shared" si="5"/>
        <v>2500.20000000001</v>
      </c>
    </row>
    <row r="52" spans="1:9" ht="18">
      <c r="A52" s="23" t="s">
        <v>3</v>
      </c>
      <c r="B52" s="42">
        <v>9315.8</v>
      </c>
      <c r="C52" s="43">
        <v>10328.7</v>
      </c>
      <c r="D52" s="44">
        <f>8+294.9+437.7+298.5+423.7+297.9+451.2+294.5+446+301+554.2+412+820.4+487.4+393.4+0.1+169.4+354.3-0.1+300.5+8.5+507.2+314.4+656.2+356+3.3+1.1+497.6+0.1+395.8</f>
        <v>9485.199999999997</v>
      </c>
      <c r="E52" s="1">
        <f>D52/D51*100</f>
        <v>64.35487044487719</v>
      </c>
      <c r="F52" s="1">
        <f t="shared" si="6"/>
        <v>101.81841602438865</v>
      </c>
      <c r="G52" s="1">
        <f t="shared" si="4"/>
        <v>91.83343499181888</v>
      </c>
      <c r="H52" s="44">
        <f t="shared" si="7"/>
        <v>-169.39999999999782</v>
      </c>
      <c r="I52" s="44">
        <f t="shared" si="5"/>
        <v>843.5000000000036</v>
      </c>
    </row>
    <row r="53" spans="1:9" ht="18">
      <c r="A53" s="23" t="s">
        <v>2</v>
      </c>
      <c r="B53" s="42">
        <v>9</v>
      </c>
      <c r="C53" s="43">
        <v>12</v>
      </c>
      <c r="D53" s="44">
        <f>1.4+1.5+2.8</f>
        <v>5.699999999999999</v>
      </c>
      <c r="E53" s="1">
        <f>D53/D51*100</f>
        <v>0.038673170996478726</v>
      </c>
      <c r="F53" s="1">
        <f>D53/B53*100</f>
        <v>63.33333333333333</v>
      </c>
      <c r="G53" s="1">
        <f t="shared" si="4"/>
        <v>47.49999999999999</v>
      </c>
      <c r="H53" s="44">
        <f t="shared" si="7"/>
        <v>3.3000000000000007</v>
      </c>
      <c r="I53" s="44">
        <f t="shared" si="5"/>
        <v>6.300000000000001</v>
      </c>
    </row>
    <row r="54" spans="1:9" ht="18">
      <c r="A54" s="23" t="s">
        <v>1</v>
      </c>
      <c r="B54" s="42">
        <v>270.4</v>
      </c>
      <c r="C54" s="43">
        <v>287</v>
      </c>
      <c r="D54" s="44">
        <f>1.3+0.7+2.1+1+1.3+7.6+7.5+6.3+0.4+13+20.7+0.5+5.3+9.4+10+8.9+5.1+7.2+1-0.1+17.9+7.1+3.8+1.6+1.9+6.6+0.6+5.8+1.3+5.3+15.2+5.8+4.4+8.4+0.3+15+7.8+1.8+1.7+2.6+1.3+2.8+0.1+10.4+3.3+1.2</f>
        <v>243.2000000000001</v>
      </c>
      <c r="E54" s="1">
        <f>D54/D51*100</f>
        <v>1.6500552958497603</v>
      </c>
      <c r="F54" s="1">
        <f t="shared" si="6"/>
        <v>89.94082840236692</v>
      </c>
      <c r="G54" s="1">
        <f t="shared" si="4"/>
        <v>84.7386759581882</v>
      </c>
      <c r="H54" s="44">
        <f t="shared" si="7"/>
        <v>27.199999999999875</v>
      </c>
      <c r="I54" s="44">
        <f t="shared" si="5"/>
        <v>43.7999999999999</v>
      </c>
    </row>
    <row r="55" spans="1:9" ht="18">
      <c r="A55" s="23" t="s">
        <v>0</v>
      </c>
      <c r="B55" s="42">
        <v>792.7</v>
      </c>
      <c r="C55" s="43">
        <v>933.1</v>
      </c>
      <c r="D55" s="44">
        <f>10.7+0.6+7.6+85.1+28.4+14.4+0.1+8.5+0.1+7+0.1+7.7+62.8+6+1.3+0.9+0.9+1+0.7+0.1+4.7+15.2+34.9+9+4+15.8+5.5+7+1.9+1.5+0.1+2.4+1.8+3.7+1.3+4.5+2.3+0.7+0.1+1.8+6.8+1.6+0.7+0.5+1.1+12.5+0.8+0.8+0.7+9.2+0.6+1-1+0.4+0.9+0.3+11.5+1.7+0.6+0.8+0.5+4.3+12.2+0.4+18.8+1.4+1.7+0.1-0.2+3.2+1.1+57.6+53.2</f>
        <v>568.0000000000001</v>
      </c>
      <c r="E55" s="1">
        <f>D55/D51*100</f>
        <v>3.8537475659648996</v>
      </c>
      <c r="F55" s="1">
        <f t="shared" si="6"/>
        <v>71.65384130187967</v>
      </c>
      <c r="G55" s="1">
        <f t="shared" si="4"/>
        <v>60.87236094737971</v>
      </c>
      <c r="H55" s="44">
        <f t="shared" si="7"/>
        <v>224.69999999999993</v>
      </c>
      <c r="I55" s="44">
        <f t="shared" si="5"/>
        <v>365.0999999999999</v>
      </c>
    </row>
    <row r="56" spans="1:9" ht="18">
      <c r="A56" s="23" t="s">
        <v>14</v>
      </c>
      <c r="B56" s="42">
        <f>200+80</f>
        <v>280</v>
      </c>
      <c r="C56" s="43">
        <f>200+80</f>
        <v>280</v>
      </c>
      <c r="D56" s="43">
        <f>40+40+40+40+40+40</f>
        <v>240</v>
      </c>
      <c r="E56" s="1">
        <f>D56/D51*100</f>
        <v>1.6283440419569992</v>
      </c>
      <c r="F56" s="1">
        <f>D56/B56*100</f>
        <v>85.71428571428571</v>
      </c>
      <c r="G56" s="1">
        <f>D56/C56*100</f>
        <v>85.71428571428571</v>
      </c>
      <c r="H56" s="44">
        <f t="shared" si="7"/>
        <v>40</v>
      </c>
      <c r="I56" s="44">
        <f t="shared" si="5"/>
        <v>40</v>
      </c>
    </row>
    <row r="57" spans="1:9" ht="18.75" thickBot="1">
      <c r="A57" s="23" t="s">
        <v>29</v>
      </c>
      <c r="B57" s="43">
        <f>B51-B52-B55-B54-B53-B56</f>
        <v>5013.500000000001</v>
      </c>
      <c r="C57" s="43">
        <f>C51-C52-C55-C54-C53-C56</f>
        <v>5398.299999999997</v>
      </c>
      <c r="D57" s="43">
        <f>D51-D52-D55-D54-D53-D56</f>
        <v>4196.799999999992</v>
      </c>
      <c r="E57" s="1">
        <f>D57/D51*100</f>
        <v>28.474309480354677</v>
      </c>
      <c r="F57" s="1">
        <f t="shared" si="6"/>
        <v>83.70998304577623</v>
      </c>
      <c r="G57" s="1">
        <f t="shared" si="4"/>
        <v>77.74299316451464</v>
      </c>
      <c r="H57" s="44">
        <f>B57-D57</f>
        <v>816.7000000000089</v>
      </c>
      <c r="I57" s="44">
        <f>C57-D57</f>
        <v>1201.5000000000055</v>
      </c>
    </row>
    <row r="58" spans="1:9" s="37" customFormat="1" ht="19.5" hidden="1" thickBot="1">
      <c r="A58" s="96" t="s">
        <v>71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f>5841.1-80-327.3</f>
        <v>5433.8</v>
      </c>
      <c r="C59" s="46">
        <f>5881.8+134.4+115.2-20-80-327.3</f>
        <v>5704.099999999999</v>
      </c>
      <c r="D59" s="47">
        <f>43.5+4.7+72.8+47.2+46+5+62.5+3.8+40.9+35.3+2.1+2.9+21.1+3.9+86.8+0.2+2.7+44.1+47.3+140.1+0.1+45.6+13.8+0.9+95.5-0.1+6.7+60.6+0.7+0.5+92.7+2.8+4+111.8+66.3+34+5.8+77.7+2.3+68.7+75.6+2+307.4+46.6+2.4+84.1+735+554.7+36.1+0.4+4.7+6+1155-0.3+41.9+0.3+9.2+0.9+86.5-0.1+0.4+41.6+43.2+0.5+20.2+4.7+5.7+0.1+95.1+0.1+221.9+47.6+77.8</f>
        <v>5110.5999999999985</v>
      </c>
      <c r="E59" s="3">
        <f>D59/D150*100</f>
        <v>0.36139130774210115</v>
      </c>
      <c r="F59" s="3">
        <f>D59/B59*100</f>
        <v>94.0520446096654</v>
      </c>
      <c r="G59" s="3">
        <f t="shared" si="4"/>
        <v>89.59520345014987</v>
      </c>
      <c r="H59" s="47">
        <f>B59-D59</f>
        <v>323.20000000000164</v>
      </c>
      <c r="I59" s="47">
        <f t="shared" si="5"/>
        <v>593.5000000000009</v>
      </c>
    </row>
    <row r="60" spans="1:9" ht="18">
      <c r="A60" s="23" t="s">
        <v>3</v>
      </c>
      <c r="B60" s="42">
        <v>1510.3</v>
      </c>
      <c r="C60" s="43">
        <f>1508.2+134.4</f>
        <v>1642.6000000000001</v>
      </c>
      <c r="D60" s="44">
        <f>43.5+72.8+47.2+62.5+0.1+35.3+86.8+44.1+125.7+41.4+92.3+60.6+92.7+66.3+68.7-0.1+2+54.7+84.1+36.1+101.8+41.9+86.5+41.3+95.1+46.6</f>
        <v>1529.9999999999998</v>
      </c>
      <c r="E60" s="1">
        <f>D60/D59*100</f>
        <v>29.937776386334292</v>
      </c>
      <c r="F60" s="1">
        <f t="shared" si="6"/>
        <v>101.30437661391775</v>
      </c>
      <c r="G60" s="1">
        <f t="shared" si="4"/>
        <v>93.14501400219163</v>
      </c>
      <c r="H60" s="44">
        <f t="shared" si="7"/>
        <v>-19.699999999999818</v>
      </c>
      <c r="I60" s="44">
        <f t="shared" si="5"/>
        <v>112.60000000000036</v>
      </c>
    </row>
    <row r="61" spans="1:9" ht="18">
      <c r="A61" s="23" t="s">
        <v>1</v>
      </c>
      <c r="B61" s="42">
        <v>311.8</v>
      </c>
      <c r="C61" s="43">
        <f>331.8-20</f>
        <v>311.8</v>
      </c>
      <c r="D61" s="44">
        <f>111.8+77.7+75.6+46.6</f>
        <v>311.70000000000005</v>
      </c>
      <c r="E61" s="1">
        <f>D61/D59*100</f>
        <v>6.099088169686537</v>
      </c>
      <c r="F61" s="1">
        <f>D61/B61*100</f>
        <v>99.96792815907635</v>
      </c>
      <c r="G61" s="1">
        <f t="shared" si="4"/>
        <v>99.96792815907635</v>
      </c>
      <c r="H61" s="44">
        <f t="shared" si="7"/>
        <v>0.0999999999999659</v>
      </c>
      <c r="I61" s="44">
        <f t="shared" si="5"/>
        <v>0.0999999999999659</v>
      </c>
    </row>
    <row r="62" spans="1:9" ht="18">
      <c r="A62" s="23" t="s">
        <v>0</v>
      </c>
      <c r="B62" s="42">
        <v>532.5</v>
      </c>
      <c r="C62" s="43">
        <v>627.5</v>
      </c>
      <c r="D62" s="44">
        <f>4.7+45.7+4.9+40.9+19.8+3.9+46.3+9+12.6+0.9+3+0.3+2.8+0.3+0.1+2.2+0.3+2.2+0.3+3.3+0.5+5.5+0.2-1+0.5+20.2+3.9+5.7+52.4</f>
        <v>291.4</v>
      </c>
      <c r="E62" s="1">
        <f>D62/D59*100</f>
        <v>5.701874535279616</v>
      </c>
      <c r="F62" s="1">
        <f t="shared" si="6"/>
        <v>54.72300469483567</v>
      </c>
      <c r="G62" s="1">
        <f t="shared" si="4"/>
        <v>46.438247011952186</v>
      </c>
      <c r="H62" s="44">
        <f t="shared" si="7"/>
        <v>241.10000000000002</v>
      </c>
      <c r="I62" s="44">
        <f t="shared" si="5"/>
        <v>336.1</v>
      </c>
    </row>
    <row r="63" spans="1:9" ht="18">
      <c r="A63" s="23" t="s">
        <v>14</v>
      </c>
      <c r="B63" s="42">
        <f>3331.4-180-517.3</f>
        <v>2634.1000000000004</v>
      </c>
      <c r="C63" s="43">
        <f>3216.2+115.2-180-517.3</f>
        <v>2634.0999999999995</v>
      </c>
      <c r="D63" s="44">
        <f>252+735+554.4+1033.2+43.2</f>
        <v>2617.8</v>
      </c>
      <c r="E63" s="1">
        <f>D63/D59*100</f>
        <v>51.22294838179472</v>
      </c>
      <c r="F63" s="1">
        <f t="shared" si="6"/>
        <v>99.38119281728103</v>
      </c>
      <c r="G63" s="1">
        <f t="shared" si="4"/>
        <v>99.38119281728108</v>
      </c>
      <c r="H63" s="44">
        <f t="shared" si="7"/>
        <v>16.300000000000182</v>
      </c>
      <c r="I63" s="44">
        <f t="shared" si="5"/>
        <v>16.299999999999272</v>
      </c>
    </row>
    <row r="64" spans="1:9" ht="18.75" thickBot="1">
      <c r="A64" s="23" t="s">
        <v>29</v>
      </c>
      <c r="B64" s="43">
        <f>B59-B60-B62-B63-B61</f>
        <v>445.0999999999996</v>
      </c>
      <c r="C64" s="43">
        <f>C59-C60-C62-C63-C61</f>
        <v>488.0999999999996</v>
      </c>
      <c r="D64" s="43">
        <f>D59-D60-D62-D63-D61</f>
        <v>359.6999999999982</v>
      </c>
      <c r="E64" s="1">
        <f>D64/D59*100</f>
        <v>7.038312526904831</v>
      </c>
      <c r="F64" s="1">
        <f t="shared" si="6"/>
        <v>80.81330038193632</v>
      </c>
      <c r="G64" s="1">
        <f t="shared" si="4"/>
        <v>73.69391518131499</v>
      </c>
      <c r="H64" s="44">
        <f t="shared" si="7"/>
        <v>85.4000000000014</v>
      </c>
      <c r="I64" s="44">
        <f t="shared" si="5"/>
        <v>128.4000000000014</v>
      </c>
    </row>
    <row r="65" spans="1:9" s="37" customFormat="1" ht="19.5" hidden="1" thickBot="1">
      <c r="A65" s="96" t="s">
        <v>82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68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69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70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251.5</v>
      </c>
      <c r="C69" s="46">
        <f>C70+C71</f>
        <v>287.3</v>
      </c>
      <c r="D69" s="47">
        <f>SUM(D70:D71)</f>
        <v>179.5</v>
      </c>
      <c r="E69" s="35">
        <f>D69/D150*100</f>
        <v>0.012693174918738932</v>
      </c>
      <c r="F69" s="3">
        <f>D69/B69*100</f>
        <v>71.37176938369781</v>
      </c>
      <c r="G69" s="3">
        <f t="shared" si="4"/>
        <v>62.47824573616428</v>
      </c>
      <c r="H69" s="47">
        <f>B69-D69</f>
        <v>72</v>
      </c>
      <c r="I69" s="47">
        <f t="shared" si="5"/>
        <v>107.80000000000001</v>
      </c>
    </row>
    <row r="70" spans="1:9" ht="18">
      <c r="A70" s="23" t="s">
        <v>8</v>
      </c>
      <c r="B70" s="42">
        <v>170.9</v>
      </c>
      <c r="C70" s="43">
        <v>171</v>
      </c>
      <c r="D70" s="44">
        <f>3.9+1+3+8.8+1.5+9.8+5+38.4+18.8+12.7+1+25.4+6+5+25.1+4.5</f>
        <v>169.9</v>
      </c>
      <c r="E70" s="1">
        <f>D70/D69*100</f>
        <v>94.65181058495821</v>
      </c>
      <c r="F70" s="1">
        <f t="shared" si="6"/>
        <v>99.41486249268578</v>
      </c>
      <c r="G70" s="1">
        <f t="shared" si="4"/>
        <v>99.35672514619883</v>
      </c>
      <c r="H70" s="44">
        <f t="shared" si="7"/>
        <v>1</v>
      </c>
      <c r="I70" s="44">
        <f t="shared" si="5"/>
        <v>1.0999999999999943</v>
      </c>
    </row>
    <row r="71" spans="1:9" ht="18.75" thickBot="1">
      <c r="A71" s="23" t="s">
        <v>9</v>
      </c>
      <c r="B71" s="42">
        <f>99.3-18.7</f>
        <v>80.6</v>
      </c>
      <c r="C71" s="43">
        <f>149.8-9-18.3-0.4-5.8</f>
        <v>116.30000000000001</v>
      </c>
      <c r="D71" s="44">
        <f>9.6</f>
        <v>9.6</v>
      </c>
      <c r="E71" s="1">
        <f>D71/D70*100</f>
        <v>5.650382577987051</v>
      </c>
      <c r="F71" s="1">
        <f t="shared" si="6"/>
        <v>11.910669975186105</v>
      </c>
      <c r="G71" s="1">
        <f t="shared" si="4"/>
        <v>8.254514187446258</v>
      </c>
      <c r="H71" s="44">
        <f t="shared" si="7"/>
        <v>71</v>
      </c>
      <c r="I71" s="44">
        <f t="shared" si="5"/>
        <v>106.70000000000002</v>
      </c>
    </row>
    <row r="72" spans="1:9" ht="38.25" hidden="1" thickBot="1">
      <c r="A72" s="13" t="s">
        <v>45</v>
      </c>
      <c r="B72" s="54"/>
      <c r="C72" s="46">
        <f>C73+C74+C75+C76</f>
        <v>0</v>
      </c>
      <c r="D72" s="46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49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50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36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46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v>996</v>
      </c>
      <c r="C77" s="62">
        <f>10000-8192+3069.6-3069.6</f>
        <v>1808.0000000000005</v>
      </c>
      <c r="D77" s="63"/>
      <c r="E77" s="41"/>
      <c r="F77" s="41"/>
      <c r="G77" s="41"/>
      <c r="H77" s="63">
        <f>B77-D77</f>
        <v>996</v>
      </c>
      <c r="I77" s="63">
        <f t="shared" si="5"/>
        <v>1808.0000000000005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1"/>
    </row>
    <row r="79" spans="1:9" ht="18.75" customHeight="1" hidden="1" thickBot="1">
      <c r="A79" s="13" t="s">
        <v>62</v>
      </c>
      <c r="B79" s="54"/>
      <c r="C79" s="46">
        <f>C80+C81</f>
        <v>0</v>
      </c>
      <c r="D79" s="46">
        <f>D80+D81</f>
        <v>0</v>
      </c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61</v>
      </c>
      <c r="B80" s="64"/>
      <c r="C80" s="43">
        <f>50-50</f>
        <v>0</v>
      </c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57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35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42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37</v>
      </c>
      <c r="B84" s="54"/>
      <c r="C84" s="46">
        <f>C85+C86</f>
        <v>0</v>
      </c>
      <c r="D84" s="46">
        <f>D85+D86</f>
        <v>0</v>
      </c>
      <c r="E84" s="3">
        <f>D84/D150*100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38</v>
      </c>
      <c r="B87" s="54"/>
      <c r="C87" s="46">
        <f>SUM(C88:C89)</f>
        <v>0</v>
      </c>
      <c r="D87" s="46">
        <f>SUM(D88:D89)</f>
        <v>0</v>
      </c>
      <c r="E87" s="3">
        <f>D87/D150*100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f>55447.2+28.8+1684.5</f>
        <v>57160.5</v>
      </c>
      <c r="C90" s="46">
        <f>50201.5+5861+2853.8+11.8-0.1+368.5+374.4+150.3+28.8+3184+50+90.5</f>
        <v>63174.500000000015</v>
      </c>
      <c r="D90" s="47">
        <f>44075.1+103.3+46.5+25+15.6+5.7+164.2+1847.8+521.6+2.8+15.8+61.2+46.7+110.4+15+130.8+28.4+129.4+817.1+784.9+173.2+280.6+8.2+18.5+36.5+8.8+35.3+16+2745.3+1166.5+18.3+110.5+188.1+402.8+2029.1+613.1+44.9+113</f>
        <v>56956.00000000001</v>
      </c>
      <c r="E90" s="3">
        <f>D90/D150*100</f>
        <v>4.027590365859022</v>
      </c>
      <c r="F90" s="3">
        <f aca="true" t="shared" si="10" ref="F90:F96">D90/B90*100</f>
        <v>99.6422354598018</v>
      </c>
      <c r="G90" s="3">
        <f t="shared" si="8"/>
        <v>90.15662965278712</v>
      </c>
      <c r="H90" s="47">
        <f aca="true" t="shared" si="11" ref="H90:H96">B90-D90</f>
        <v>204.49999999999272</v>
      </c>
      <c r="I90" s="47">
        <f t="shared" si="9"/>
        <v>6218.500000000007</v>
      </c>
    </row>
    <row r="91" spans="1:9" ht="18">
      <c r="A91" s="23" t="s">
        <v>3</v>
      </c>
      <c r="B91" s="42">
        <f>45976.7+1674</f>
        <v>47650.7</v>
      </c>
      <c r="C91" s="43">
        <f>41785.6+5825.3+1852.2+217.6+3277</f>
        <v>52957.7</v>
      </c>
      <c r="D91" s="44">
        <f>504.1+600.9+12.5+0.1+294.4+657+710.4+56.2+67.4+61.4+375.5+513+243.5+0.3+0.2+0.2+1502.8+529.2+582+0.1+29+142.9+14.9+1.9+241.9+972.3+146.3+19.4+5.4+12.1+245.6+356.2+677.7+532.7+2059.5-0.2+6+1.6+40.8+5.9+249.6+1081.7+177.2+15.5+10.4+2.1+2.1+390.2+763.8+1158.5+8.4+36.6+9.2+344.5+935.5+9.7+19.9+9.5+1.6+16.7+728.3+1292.1+321.1+0.8-0.2+14.8+16.9+4.9+0.8+1182.9+471.7+14.6+13+15+1250+346.4+884.6-0.1+62.6+34.5+228.2+21.5+3.2+28.5+112.4+240+809.2+334.5+15.2+12+426.3+876.6+1161.7+0.2+24+2.5+3+39.9+149.5+436.6+889.5+159.8+3.4+1417.1+921+6.3+28.3+70+9.1+128.5+614.6+569.2+16.1+1.9+11.2+2.4+26.3+683.5+6.9+1760.8-43.9+44.1+47.2+3.7+44.6+6.8+29.2+525.1+755.5+10.1+5.2+1823.3+518.1+13.3+32.3+21+129.4+807.6+765.2+6.5+247.2+1.5+24.5+2619.8+1153.5+16.6+1957+554.4</f>
        <v>48490.19999999999</v>
      </c>
      <c r="E91" s="1">
        <f>D91/D90*100</f>
        <v>85.13624552285972</v>
      </c>
      <c r="F91" s="1">
        <f t="shared" si="10"/>
        <v>101.76177894553489</v>
      </c>
      <c r="G91" s="1">
        <f t="shared" si="8"/>
        <v>91.56402185140215</v>
      </c>
      <c r="H91" s="44">
        <f t="shared" si="11"/>
        <v>-839.4999999999927</v>
      </c>
      <c r="I91" s="44">
        <f t="shared" si="9"/>
        <v>4467.500000000007</v>
      </c>
    </row>
    <row r="92" spans="1:9" ht="18">
      <c r="A92" s="23" t="s">
        <v>27</v>
      </c>
      <c r="B92" s="42">
        <v>1830</v>
      </c>
      <c r="C92" s="43">
        <f>2476+1-355.6-100</f>
        <v>2021.4</v>
      </c>
      <c r="D92" s="44">
        <f>9.8+96.8+35.3+50.2+1.4+30+1.1+18.1+138.1+43.8+4.2+9.3+27.5+5.8+0.2+2.4+1+11.7+14.7+34.3+26.9+2.8+30.4+0.1+10.2+1.4+0.2+22+131.7+1.9+1.6+30.8+150.2+0.9+0.6+2.2+0.6+31.6+20.6+1+0.3+3+17.7+35.6+0.9+0.3+39.3+12.6+23.9+20.8+0.8+3.9+30.4+0.7-20.7+16.1+5+57.9+10.9+15.8+1.8+117.3+0.9+61.8+5.7+24.2+203.9+4.7+3.4+2.2</f>
        <v>1704.5000000000002</v>
      </c>
      <c r="E92" s="1">
        <f>D92/D90*100</f>
        <v>2.9926610014748225</v>
      </c>
      <c r="F92" s="1">
        <f t="shared" si="10"/>
        <v>93.14207650273225</v>
      </c>
      <c r="G92" s="1">
        <f t="shared" si="8"/>
        <v>84.32274661125953</v>
      </c>
      <c r="H92" s="44">
        <f t="shared" si="11"/>
        <v>125.49999999999977</v>
      </c>
      <c r="I92" s="44">
        <f t="shared" si="9"/>
        <v>316.89999999999986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29</v>
      </c>
      <c r="B94" s="43">
        <f>B90-B91-B92-B93</f>
        <v>7679.800000000003</v>
      </c>
      <c r="C94" s="43">
        <f>C90-C91-C92-C93</f>
        <v>8195.400000000018</v>
      </c>
      <c r="D94" s="43">
        <f>D90-D91-D92-D93</f>
        <v>6761.3000000000175</v>
      </c>
      <c r="E94" s="1">
        <f>D94/D90*100</f>
        <v>11.871093475665456</v>
      </c>
      <c r="F94" s="1">
        <f t="shared" si="10"/>
        <v>88.04005312638368</v>
      </c>
      <c r="G94" s="1">
        <f>D94/C94*100</f>
        <v>82.50115918686095</v>
      </c>
      <c r="H94" s="44">
        <f t="shared" si="11"/>
        <v>918.4999999999854</v>
      </c>
      <c r="I94" s="44">
        <f>C94-D94</f>
        <v>1434.1000000000004</v>
      </c>
    </row>
    <row r="95" spans="1:9" ht="18.75">
      <c r="A95" s="108" t="s">
        <v>12</v>
      </c>
      <c r="B95" s="111">
        <f>73728.7+111.6-295.8</f>
        <v>73544.5</v>
      </c>
      <c r="C95" s="113">
        <f>63500.4+11490.6+4535.2-1.1-1111.2+1589.3-1380+1170.8+341.6-41.2-0.1+1000</f>
        <v>81094.3</v>
      </c>
      <c r="D95" s="112">
        <f>3050.1+485.9+95+377.6+203.9+57.3+702.6+368.5+68.4+157.9+4015.3+212.6+788.4+894.3+61.1+517.2+111.3+0.1+1461.7+564.4+1326.7+460.8+228+635.4+59+64.9+563.2+1630.6+5816.4+942.8+71+97.9+513.3+704.9+170.4+18.5+102.6+32.3+89.3+1512.9+897.1+594.4-0.1+523.7+655.4+600.6+24.1+111.3+414.6+200.4+295.4+768.4+880.1+257.1+801.1+28.2+245.7+474.9+1704.1+476.3+96.2+437.3+38.4+663+74.5+330.4+382.7+99.8+93.4+594.6+2.5+112.3+1285.9+0.1+1867.5+413.3+956.5+69.1+5.5+134.6+324.3+938.7+8.3+10.8+982.9-85.9+334.6+150.4+67.7-127+0.2+1678.2+1087.5+79.8+4.1+78.5+165.7+871.9+383.1+10.8+20.6+626.2+52.1+71.4+30.8+590.2-0.2+1084.3+1229.3+137.2+627.6+37.3+404.5+7+105.8+10.9+68+190.3+238.7+178.1+272+84.2+347.5+338.9+2528.3+1004.6+206.7+0.8+96.1+194.7+14.8+157.3+441.3+104.7+123.9+144.5+1256.9+0.2-146.7+802.5+10.4+368.4+25+414.5+449.3+643.2+125+30.7+32.1+466.1+198.7+96.7+0.1+73.5+156.3+101.7+133.9+2+0.1+854+1070.6+5.6+1655.8+288.4+73.2+21.3</f>
        <v>74789.40000000001</v>
      </c>
      <c r="E95" s="107">
        <f>D95/D150*100</f>
        <v>5.288662597590715</v>
      </c>
      <c r="F95" s="110">
        <f t="shared" si="10"/>
        <v>101.6927166545425</v>
      </c>
      <c r="G95" s="106">
        <f>D95/C95*100</f>
        <v>92.22522421427894</v>
      </c>
      <c r="H95" s="112">
        <f t="shared" si="11"/>
        <v>-1244.9000000000087</v>
      </c>
      <c r="I95" s="122">
        <f>C95-D95</f>
        <v>6304.899999999994</v>
      </c>
    </row>
    <row r="96" spans="1:9" ht="18.75" thickBot="1">
      <c r="A96" s="109" t="s">
        <v>89</v>
      </c>
      <c r="B96" s="114">
        <v>7264.1</v>
      </c>
      <c r="C96" s="115">
        <f>5343.5+287.2+2416.8+30+300-99.3</f>
        <v>8278.2</v>
      </c>
      <c r="D96" s="116">
        <f>4529.8+517.7+29.4+13.1+5+72.5+64.2-0.1+1.6+4.9+643.2+21+0.1+73.5+722.1+1.6+262.3</f>
        <v>6961.900000000001</v>
      </c>
      <c r="E96" s="117">
        <f>D96/D95*100</f>
        <v>9.30867208454674</v>
      </c>
      <c r="F96" s="118">
        <f t="shared" si="10"/>
        <v>95.83981498052064</v>
      </c>
      <c r="G96" s="119">
        <f>D96/C96*100</f>
        <v>84.09920030924597</v>
      </c>
      <c r="H96" s="123">
        <f t="shared" si="11"/>
        <v>302.1999999999998</v>
      </c>
      <c r="I96" s="124">
        <f>C96-D96</f>
        <v>1316.3000000000002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40</v>
      </c>
      <c r="B98" s="68"/>
      <c r="C98" s="69"/>
      <c r="D98" s="70"/>
      <c r="E98" s="3">
        <f>D98/D150*100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1"/>
    </row>
    <row r="100" spans="1:9" s="15" customFormat="1" ht="36" customHeight="1" hidden="1" thickBot="1">
      <c r="A100" s="13" t="s">
        <v>55</v>
      </c>
      <c r="B100" s="54"/>
      <c r="C100" s="46"/>
      <c r="D100" s="47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1"/>
    </row>
    <row r="102" spans="1:9" s="37" customFormat="1" ht="19.5" thickBot="1">
      <c r="A102" s="13" t="s">
        <v>11</v>
      </c>
      <c r="B102" s="54">
        <f>9549.5-1274.7</f>
        <v>8274.8</v>
      </c>
      <c r="C102" s="92">
        <f>10703.3-154-3.5-134.3+83.4+37+0.1+6-1288.7+5.8</f>
        <v>9255.099999999999</v>
      </c>
      <c r="D102" s="79">
        <f>40+388.7+47.5+2+10.9+26+40+10.7+4.9+126.7+451+1.9+19.2+1.6+31.5+41+134.3+2+40+303.9+42.9+136.5+32.6+15.2+0.1+18+62.7+4.9+159.7+3.3+4.9+45.5+355.5+2+11.4+51.9+80.1+8.7+15.5+6+0.2+15+38.8+236.4+53.6+35.7+10.2+144.2+116.1+49.6+0.1+6.4+35.4+80+178.3+58.6+51.8+190.1+5+10.1+4.4+27.6+138.2+84.6+48.3+7+80+25.2+24.2+134.7+26.1+4+0.6+36.8+2.2+18.6+12.6+42.1+2+65.9+54.9-0.1+6.7+19.1+6.9+14.3+173.1+2+1+26.8+3+35.2+4+91.3+11.7+29.4+89.5+0.1+51.4+9.3+18.4+121.3+4+17.3+7.5+0.8+3.2+62.9+4.2+24.9+28.5+7.2+36.4+13.4-69.2-69.4+10.7+20.3+13+179+16.4+2+1.8+74.8+3.8+60.7+62.9+61.1+139.1+21.8+20.2+27.6+153.5+5+17.2+40.4+20.9+2+225+32.7+23.2+2.9+42.3+13.2+2+107.9+173.1+9.7</f>
        <v>7309.0999999999985</v>
      </c>
      <c r="E102" s="19">
        <f>D102/D150*100</f>
        <v>0.5168561827217532</v>
      </c>
      <c r="F102" s="19">
        <f>D102/B102*100</f>
        <v>88.32962730217044</v>
      </c>
      <c r="G102" s="19">
        <f aca="true" t="shared" si="12" ref="G102:G148">D102/C102*100</f>
        <v>78.97375501075082</v>
      </c>
      <c r="H102" s="79">
        <f aca="true" t="shared" si="13" ref="H102:H107">B102-D102</f>
        <v>965.7000000000007</v>
      </c>
      <c r="I102" s="79">
        <f aca="true" t="shared" si="14" ref="I102:I148">C102-D102</f>
        <v>1946</v>
      </c>
    </row>
    <row r="103" spans="1:9" ht="18">
      <c r="A103" s="23" t="s">
        <v>3</v>
      </c>
      <c r="B103" s="89">
        <v>155.7</v>
      </c>
      <c r="C103" s="87">
        <v>187.6</v>
      </c>
      <c r="D103" s="87">
        <f>15.1+18.9-0.1+18.6+22.1+18.4+16.3+23.1+27.9</f>
        <v>160.3</v>
      </c>
      <c r="E103" s="83">
        <f>D103/D102*100</f>
        <v>2.1931564761735376</v>
      </c>
      <c r="F103" s="1">
        <f>D103/B103*100</f>
        <v>102.9543994861914</v>
      </c>
      <c r="G103" s="83">
        <f>D103/C103*100</f>
        <v>85.44776119402985</v>
      </c>
      <c r="H103" s="87">
        <f t="shared" si="13"/>
        <v>-4.600000000000023</v>
      </c>
      <c r="I103" s="87">
        <f t="shared" si="14"/>
        <v>27.299999999999983</v>
      </c>
    </row>
    <row r="104" spans="1:9" ht="18">
      <c r="A104" s="85" t="s">
        <v>52</v>
      </c>
      <c r="B104" s="74">
        <f>7770.6-1552.9+517.3</f>
        <v>6735.000000000001</v>
      </c>
      <c r="C104" s="44">
        <f>8863.3-154-3.5-134.3+25.3+6+39.1-1049+11.4+5.8</f>
        <v>7610.099999999999</v>
      </c>
      <c r="D104" s="44">
        <f>39.8+388.5+20.6+2+26+40+4.1+126.5+407.9+18+31.2+40.6+134.1+2+40+303.9+135.8+32.6+7.9+0.1+62.1+159.2+45.1+355.5+2+51.4+35.4+235.2+53.1+32+115.3+110.8+43.6+27+79.7+149.6+58+51.2+190+5+10+27.6+137.4+57.3+28.2+0.1+71.7+17.8+134.5+24.2+4+36.4+12.5+21+2+45.1+54.9-0.2+3.6+150.5+26.8+3+25.9+4+76+5+4+27.8+0.1+17.8+121.1+4+17.3+7.4+3.1+62.9+4.2+2+3.7+25-0.1+1.8+178.8+16.4+2+1.8+69.8+3.8+60.7+13.3+54.1-0.2+15+1.8+133.5+5+17+40+2+213.5+26.8+0.2-26.7+28.1+2+80+172.6</f>
        <v>6055.500000000002</v>
      </c>
      <c r="E104" s="1">
        <f>D104/D102*100</f>
        <v>82.84877755127175</v>
      </c>
      <c r="F104" s="1">
        <f aca="true" t="shared" si="15" ref="F104:F148">D104/B104*100</f>
        <v>89.91091314031182</v>
      </c>
      <c r="G104" s="1">
        <f t="shared" si="12"/>
        <v>79.57188473213233</v>
      </c>
      <c r="H104" s="44">
        <f t="shared" si="13"/>
        <v>679.4999999999991</v>
      </c>
      <c r="I104" s="44">
        <f t="shared" si="14"/>
        <v>1554.5999999999976</v>
      </c>
    </row>
    <row r="105" spans="1:9" ht="54.75" hidden="1" thickBot="1">
      <c r="A105" s="86" t="s">
        <v>85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4">
        <f t="shared" si="13"/>
        <v>0</v>
      </c>
      <c r="I105" s="124">
        <f>C105-D105</f>
        <v>0</v>
      </c>
    </row>
    <row r="106" spans="1:9" ht="18.75" thickBot="1">
      <c r="A106" s="86" t="s">
        <v>29</v>
      </c>
      <c r="B106" s="88">
        <f>B102-B103-B104</f>
        <v>1384.0999999999985</v>
      </c>
      <c r="C106" s="88">
        <f>C102-C103-C104</f>
        <v>1457.3999999999987</v>
      </c>
      <c r="D106" s="88">
        <f>D102-D103-D104</f>
        <v>1093.2999999999965</v>
      </c>
      <c r="E106" s="84">
        <f>D106/D102*100</f>
        <v>14.958065972554715</v>
      </c>
      <c r="F106" s="84">
        <f t="shared" si="15"/>
        <v>78.98995737302201</v>
      </c>
      <c r="G106" s="84">
        <f t="shared" si="12"/>
        <v>75.01715383559747</v>
      </c>
      <c r="H106" s="124">
        <f>B106-D106</f>
        <v>290.800000000002</v>
      </c>
      <c r="I106" s="124">
        <f t="shared" si="14"/>
        <v>364.1000000000022</v>
      </c>
    </row>
    <row r="107" spans="1:9" s="2" customFormat="1" ht="26.25" customHeight="1" thickBot="1">
      <c r="A107" s="80" t="s">
        <v>30</v>
      </c>
      <c r="B107" s="81">
        <f>SUM(B108:B147)-B115-B119+B148-B139-B140-B109-B112-B122-B123-B137-B131-B129</f>
        <v>554358.9000000001</v>
      </c>
      <c r="C107" s="81">
        <f>SUM(C108:C147)-C115-C119+C148-C139-C140-C109-C112-C122-C123-C137-C131-C129</f>
        <v>590061.2999999999</v>
      </c>
      <c r="D107" s="81">
        <f>SUM(D108:D147)-D115-D119+D148-D139-D140-D109-D112-D122-D123-D137-D131-D129</f>
        <v>575559.4000000001</v>
      </c>
      <c r="E107" s="82">
        <f>D107/D150*100</f>
        <v>40.70014562854835</v>
      </c>
      <c r="F107" s="82">
        <f>D107/B107*100</f>
        <v>103.8243275250023</v>
      </c>
      <c r="G107" s="82">
        <f t="shared" si="12"/>
        <v>97.54230619767814</v>
      </c>
      <c r="H107" s="81">
        <f t="shared" si="13"/>
        <v>-21200.5</v>
      </c>
      <c r="I107" s="81">
        <f t="shared" si="14"/>
        <v>14501.89999999979</v>
      </c>
    </row>
    <row r="108" spans="1:9" ht="37.5">
      <c r="A108" s="28" t="s">
        <v>56</v>
      </c>
      <c r="B108" s="71">
        <f>1960.1-191.1-248.9</f>
        <v>1520.1</v>
      </c>
      <c r="C108" s="67">
        <f>2166.2-191.1-248.9</f>
        <v>1726.1999999999998</v>
      </c>
      <c r="D108" s="72">
        <f>142.7+0.9+78.6+37.4+44.2+140.1+1+20.9+25.7+0.2+2+0.6+0.4+1.8+1.5-0.1+62.6+2.1+1.9+2.9+1+9.8+0.1+52+4.8+2+1.2+2+5.2+2.6-0.1+56.3+43+2.2+0.3+6.3+0.1+46.4+1.3+6.5+1.2+1-0.1+67.4+1.9+0.3+9.6+59+4.3+5.5+18.3+1.1+0.2+37.9+21.6+7.2+1.8+20.6+1.2+1.5+1.3+24.6-0.1+139.8+17.1+12+1.1</f>
        <v>1267.6999999999994</v>
      </c>
      <c r="E108" s="6">
        <f>D108/D107*100</f>
        <v>0.22025528555349788</v>
      </c>
      <c r="F108" s="6">
        <f t="shared" si="15"/>
        <v>83.39582922176169</v>
      </c>
      <c r="G108" s="6">
        <f t="shared" si="12"/>
        <v>73.43876723438765</v>
      </c>
      <c r="H108" s="61">
        <f aca="true" t="shared" si="16" ref="H108:H148">B108-D108</f>
        <v>252.40000000000055</v>
      </c>
      <c r="I108" s="61">
        <f t="shared" si="14"/>
        <v>458.50000000000045</v>
      </c>
    </row>
    <row r="109" spans="1:9" ht="18">
      <c r="A109" s="23" t="s">
        <v>27</v>
      </c>
      <c r="B109" s="74">
        <f>1094-357</f>
        <v>737</v>
      </c>
      <c r="C109" s="44">
        <f>1213.5-357</f>
        <v>856.5</v>
      </c>
      <c r="D109" s="75">
        <f>142.7+0.9+78.6+37.4+20.9+42.5+24.8+0.6+32.7+0.1+16.7+37.6+29.1+37.9+0.6+124.7</f>
        <v>627.8000000000001</v>
      </c>
      <c r="E109" s="1">
        <f>D109/D108*100</f>
        <v>49.5227577502564</v>
      </c>
      <c r="F109" s="1">
        <f t="shared" si="15"/>
        <v>85.18317503392132</v>
      </c>
      <c r="G109" s="1">
        <f t="shared" si="12"/>
        <v>73.29830706363106</v>
      </c>
      <c r="H109" s="44">
        <f t="shared" si="16"/>
        <v>109.19999999999993</v>
      </c>
      <c r="I109" s="44">
        <f t="shared" si="14"/>
        <v>228.69999999999993</v>
      </c>
    </row>
    <row r="110" spans="1:9" ht="34.5" customHeight="1">
      <c r="A110" s="16" t="s">
        <v>84</v>
      </c>
      <c r="B110" s="73">
        <f>745.5+88.7</f>
        <v>834.2</v>
      </c>
      <c r="C110" s="61">
        <f>778.3+88.7</f>
        <v>867</v>
      </c>
      <c r="D110" s="72">
        <f>26.5+20.2+7.7+37.4+7.5+38.9-0.1+38.9+12.6+45.5+9.7+1.6+37.6-0.1+56.2+1.4+57.4+128+14.8+60.5+43.8+9.8-0.1+103.8+68.3</f>
        <v>827.7999999999996</v>
      </c>
      <c r="E110" s="6">
        <f>D110/D107*100</f>
        <v>0.14382529413992706</v>
      </c>
      <c r="F110" s="6">
        <f>D110/B110*100</f>
        <v>99.23279789019415</v>
      </c>
      <c r="G110" s="6">
        <f t="shared" si="12"/>
        <v>95.47866205305647</v>
      </c>
      <c r="H110" s="61">
        <f t="shared" si="16"/>
        <v>6.400000000000432</v>
      </c>
      <c r="I110" s="61">
        <f t="shared" si="14"/>
        <v>39.20000000000039</v>
      </c>
    </row>
    <row r="111" spans="1:9" s="37" customFormat="1" ht="34.5" customHeight="1">
      <c r="A111" s="16" t="s">
        <v>60</v>
      </c>
      <c r="B111" s="73">
        <f>314.4-180.6+2.8-2.8</f>
        <v>133.79999999999998</v>
      </c>
      <c r="C111" s="53">
        <f>774.1-429.7-180.6</f>
        <v>163.80000000000004</v>
      </c>
      <c r="D111" s="76">
        <f>10.5+18</f>
        <v>28.5</v>
      </c>
      <c r="E111" s="6">
        <f>D111/D107*100</f>
        <v>0.00495170437664644</v>
      </c>
      <c r="F111" s="6">
        <f t="shared" si="15"/>
        <v>21.300448430493276</v>
      </c>
      <c r="G111" s="6">
        <f t="shared" si="12"/>
        <v>17.399267399267394</v>
      </c>
      <c r="H111" s="61">
        <f t="shared" si="16"/>
        <v>105.29999999999998</v>
      </c>
      <c r="I111" s="61">
        <f t="shared" si="14"/>
        <v>135.30000000000004</v>
      </c>
    </row>
    <row r="112" spans="1:9" ht="18" hidden="1">
      <c r="A112" s="23" t="s">
        <v>27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102</v>
      </c>
      <c r="B113" s="73">
        <v>50</v>
      </c>
      <c r="C113" s="61">
        <v>50</v>
      </c>
      <c r="D113" s="72">
        <f>5.8+4.7+0.7+0.7+1+13.8+3.2+2.2+0.2+3.3</f>
        <v>35.6</v>
      </c>
      <c r="E113" s="6">
        <f>D113/D107*100</f>
        <v>0.006185286870477659</v>
      </c>
      <c r="F113" s="6">
        <f t="shared" si="15"/>
        <v>71.2</v>
      </c>
      <c r="G113" s="6">
        <f t="shared" si="12"/>
        <v>71.2</v>
      </c>
      <c r="H113" s="61">
        <f t="shared" si="16"/>
        <v>14.399999999999999</v>
      </c>
      <c r="I113" s="61">
        <f t="shared" si="14"/>
        <v>14.399999999999999</v>
      </c>
    </row>
    <row r="114" spans="1:9" ht="37.5">
      <c r="A114" s="16" t="s">
        <v>41</v>
      </c>
      <c r="B114" s="73">
        <f>1615.3-100</f>
        <v>1515.3</v>
      </c>
      <c r="C114" s="61">
        <f>1826-100</f>
        <v>1726</v>
      </c>
      <c r="D114" s="72">
        <f>82.2+4.4+0.2+16.8+100.8+0.1+8.3+21.3+93.2+14.5+11.8+88.2+4.6+1.1+5.8+6+2.3+112.3+12.6+0.8+1.5+0.2+0.2+72.9+5.6+10.9+0.3+11.7+5.8+0.6+108.3+0.1+3+1.3+29.1+101.7+7.2+3.2+0.7+0.2+0.2+0.2+104.4+5.6+2.8+2.6+104.7+5.8+6.4+2.6+1.6+3.5+10.3+1.7+3.8+1.7+138.1+0.1+0.2+5.7+5.5+11.6+17.1</f>
        <v>1387.9999999999998</v>
      </c>
      <c r="E114" s="6">
        <f>D114/D107*100</f>
        <v>0.2411566903433424</v>
      </c>
      <c r="F114" s="6">
        <f t="shared" si="15"/>
        <v>91.599023295717</v>
      </c>
      <c r="G114" s="6">
        <f t="shared" si="12"/>
        <v>80.41714947856315</v>
      </c>
      <c r="H114" s="61">
        <f t="shared" si="16"/>
        <v>127.30000000000018</v>
      </c>
      <c r="I114" s="61">
        <f t="shared" si="14"/>
        <v>338.0000000000002</v>
      </c>
    </row>
    <row r="115" spans="1:9" ht="18" hidden="1">
      <c r="A115" s="33" t="s">
        <v>47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103</v>
      </c>
      <c r="B116" s="73">
        <v>0</v>
      </c>
      <c r="C116" s="53">
        <f>264.5-264.5</f>
        <v>0</v>
      </c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7.5">
      <c r="A117" s="16" t="s">
        <v>51</v>
      </c>
      <c r="B117" s="73">
        <v>110</v>
      </c>
      <c r="C117" s="61">
        <v>110</v>
      </c>
      <c r="D117" s="72">
        <f>15+30.5+11.5+8</f>
        <v>65</v>
      </c>
      <c r="E117" s="6">
        <f>D117/D107*100</f>
        <v>0.011293360859018197</v>
      </c>
      <c r="F117" s="6">
        <f>D117/B117*100</f>
        <v>59.09090909090909</v>
      </c>
      <c r="G117" s="6">
        <f t="shared" si="12"/>
        <v>59.09090909090909</v>
      </c>
      <c r="H117" s="61">
        <f t="shared" si="16"/>
        <v>45</v>
      </c>
      <c r="I117" s="61">
        <f t="shared" si="14"/>
        <v>45</v>
      </c>
    </row>
    <row r="118" spans="1:9" s="2" customFormat="1" ht="18.75">
      <c r="A118" s="16" t="s">
        <v>15</v>
      </c>
      <c r="B118" s="73">
        <v>210.8</v>
      </c>
      <c r="C118" s="53">
        <f>229.6+4.4</f>
        <v>234</v>
      </c>
      <c r="D118" s="72">
        <f>17.1-0.3+0.8+0.3+21.4+4.2+0.3+17.6+4.2+0.8+0.3+16.8+0.3+2+2.2+17.7+1.1+4.1+17.7+0.8+4.3+0.3+1.6+0.3+4+0.8+1.7+3+17.7+1.1+2.9+17.7+1.2+1.1+2.7+1.4+17.7+2.9+1+0.8</f>
        <v>213.59999999999997</v>
      </c>
      <c r="E118" s="6">
        <f>D118/D107*100</f>
        <v>0.03711172122286595</v>
      </c>
      <c r="F118" s="6">
        <f t="shared" si="15"/>
        <v>101.32827324478176</v>
      </c>
      <c r="G118" s="6">
        <f t="shared" si="12"/>
        <v>91.28205128205127</v>
      </c>
      <c r="H118" s="61">
        <f t="shared" si="16"/>
        <v>-2.7999999999999545</v>
      </c>
      <c r="I118" s="61">
        <f t="shared" si="14"/>
        <v>20.400000000000034</v>
      </c>
    </row>
    <row r="119" spans="1:9" s="32" customFormat="1" ht="18">
      <c r="A119" s="33" t="s">
        <v>47</v>
      </c>
      <c r="B119" s="74">
        <v>155.7</v>
      </c>
      <c r="C119" s="44">
        <f>170.2+4.4</f>
        <v>174.6</v>
      </c>
      <c r="D119" s="75">
        <f>17.1-0.3+16.8+16.8+16.8+17.7+17.7+17.7+17.7+17.7</f>
        <v>155.7</v>
      </c>
      <c r="E119" s="1">
        <f>D119/D118*100</f>
        <v>72.8932584269663</v>
      </c>
      <c r="F119" s="1">
        <f t="shared" si="15"/>
        <v>100</v>
      </c>
      <c r="G119" s="1">
        <f t="shared" si="12"/>
        <v>89.17525773195875</v>
      </c>
      <c r="H119" s="44">
        <f t="shared" si="16"/>
        <v>0</v>
      </c>
      <c r="I119" s="44">
        <f t="shared" si="14"/>
        <v>18.900000000000006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39</v>
      </c>
      <c r="B121" s="73">
        <f>488.7-82.4</f>
        <v>406.29999999999995</v>
      </c>
      <c r="C121" s="53">
        <f>204.9+375.8-12-82.4</f>
        <v>486.30000000000007</v>
      </c>
      <c r="D121" s="76">
        <f>136.8+10+57.4-0.1+22.6+0.1</f>
        <v>226.8</v>
      </c>
      <c r="E121" s="17">
        <f>D121/D107*100</f>
        <v>0.03940514219731273</v>
      </c>
      <c r="F121" s="6">
        <f t="shared" si="15"/>
        <v>55.82082205267045</v>
      </c>
      <c r="G121" s="6">
        <f t="shared" si="12"/>
        <v>46.637877853177045</v>
      </c>
      <c r="H121" s="61">
        <f t="shared" si="16"/>
        <v>179.49999999999994</v>
      </c>
      <c r="I121" s="61">
        <f t="shared" si="14"/>
        <v>259.50000000000006</v>
      </c>
    </row>
    <row r="122" spans="1:9" s="102" customFormat="1" ht="18">
      <c r="A122" s="23" t="s">
        <v>86</v>
      </c>
      <c r="B122" s="74">
        <v>80</v>
      </c>
      <c r="C122" s="44">
        <v>80</v>
      </c>
      <c r="D122" s="75">
        <f>57.4+22.6</f>
        <v>80</v>
      </c>
      <c r="E122" s="6"/>
      <c r="F122" s="1">
        <f>D122/B122*100</f>
        <v>100</v>
      </c>
      <c r="G122" s="1">
        <f t="shared" si="12"/>
        <v>100</v>
      </c>
      <c r="H122" s="44">
        <f t="shared" si="16"/>
        <v>0</v>
      </c>
      <c r="I122" s="44">
        <f t="shared" si="14"/>
        <v>0</v>
      </c>
    </row>
    <row r="123" spans="1:9" s="102" customFormat="1" ht="18" hidden="1">
      <c r="A123" s="23" t="s">
        <v>53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43</v>
      </c>
      <c r="B124" s="73">
        <f>26438.7+500-20.8</f>
        <v>26917.9</v>
      </c>
      <c r="C124" s="53">
        <f>5096.9+1707.5+6000+16669.6-700+350-20.8</f>
        <v>29103.2</v>
      </c>
      <c r="D124" s="76">
        <f>3776+7.6+1124+100+14.3+14.5+0.1+20.4+3015.8+9+1156.5+27+0.1+1146.6+5.2+681+29.9+16.3+480.3+117.6+5542.8+148.8+1446+310+974.1+0.1+1858.9+80.5+1043.3+1734.7+500+1536.4+966.2</f>
        <v>27884</v>
      </c>
      <c r="E124" s="17">
        <f>D124/D107*100</f>
        <v>4.844678064505591</v>
      </c>
      <c r="F124" s="6">
        <f t="shared" si="15"/>
        <v>103.58906155383592</v>
      </c>
      <c r="G124" s="6">
        <f t="shared" si="12"/>
        <v>95.81076994969625</v>
      </c>
      <c r="H124" s="61">
        <f t="shared" si="16"/>
        <v>-966.0999999999985</v>
      </c>
      <c r="I124" s="61">
        <f t="shared" si="14"/>
        <v>1219.2000000000007</v>
      </c>
    </row>
    <row r="125" spans="1:9" s="2" customFormat="1" ht="18.75">
      <c r="A125" s="16" t="s">
        <v>105</v>
      </c>
      <c r="B125" s="73">
        <f>875-72-560</f>
        <v>243</v>
      </c>
      <c r="C125" s="53">
        <f>1239-364-72-560-40</f>
        <v>203</v>
      </c>
      <c r="D125" s="76"/>
      <c r="E125" s="17">
        <f>D125/D107*100</f>
        <v>0</v>
      </c>
      <c r="F125" s="125">
        <f t="shared" si="15"/>
        <v>0</v>
      </c>
      <c r="G125" s="6">
        <f t="shared" si="12"/>
        <v>0</v>
      </c>
      <c r="H125" s="61">
        <f t="shared" si="16"/>
        <v>243</v>
      </c>
      <c r="I125" s="61">
        <f t="shared" si="14"/>
        <v>203</v>
      </c>
    </row>
    <row r="126" spans="1:9" s="2" customFormat="1" ht="37.5">
      <c r="A126" s="16" t="s">
        <v>104</v>
      </c>
      <c r="B126" s="73">
        <v>20</v>
      </c>
      <c r="C126" s="53">
        <v>20</v>
      </c>
      <c r="D126" s="76"/>
      <c r="E126" s="17">
        <f>D126/D107*100</f>
        <v>0</v>
      </c>
      <c r="F126" s="125">
        <f t="shared" si="15"/>
        <v>0</v>
      </c>
      <c r="G126" s="6">
        <f t="shared" si="12"/>
        <v>0</v>
      </c>
      <c r="H126" s="61">
        <f t="shared" si="16"/>
        <v>20</v>
      </c>
      <c r="I126" s="61">
        <f t="shared" si="14"/>
        <v>20</v>
      </c>
    </row>
    <row r="127" spans="1:9" s="2" customFormat="1" ht="37.5">
      <c r="A127" s="16" t="s">
        <v>91</v>
      </c>
      <c r="B127" s="73">
        <f>95.1-4.4</f>
        <v>90.69999999999999</v>
      </c>
      <c r="C127" s="53">
        <v>95.1</v>
      </c>
      <c r="D127" s="76">
        <f>4.5+17.5+0.7+32.3</f>
        <v>55</v>
      </c>
      <c r="E127" s="17">
        <f>D127/D107*100</f>
        <v>0.009555920726861553</v>
      </c>
      <c r="F127" s="6">
        <f t="shared" si="15"/>
        <v>60.63947078280045</v>
      </c>
      <c r="G127" s="6">
        <f t="shared" si="12"/>
        <v>57.83385909568876</v>
      </c>
      <c r="H127" s="61">
        <f t="shared" si="16"/>
        <v>35.69999999999999</v>
      </c>
      <c r="I127" s="61">
        <f t="shared" si="14"/>
        <v>40.099999999999994</v>
      </c>
    </row>
    <row r="128" spans="1:9" s="2" customFormat="1" ht="37.5">
      <c r="A128" s="16" t="s">
        <v>63</v>
      </c>
      <c r="B128" s="73">
        <f>685.1+175.2</f>
        <v>860.3</v>
      </c>
      <c r="C128" s="53">
        <f>983-50</f>
        <v>933</v>
      </c>
      <c r="D128" s="76">
        <f>2.8+14.4+2.8+8.8+3.7+4+2.8+5.8+9.6+4.2+2.7+0.2+2.9+76+0.5+2.6+4.7+5.9+2.9+2.9+16.5+2.9+3.4+118.6+34.2+37.5+8.6+108.7+17.3+1.3+0.8+2.1+6.6+20.9</f>
        <v>539.6</v>
      </c>
      <c r="E128" s="17">
        <f>D128/D107*100</f>
        <v>0.09375226953117262</v>
      </c>
      <c r="F128" s="6">
        <f t="shared" si="15"/>
        <v>62.7223061722655</v>
      </c>
      <c r="G128" s="6">
        <f t="shared" si="12"/>
        <v>57.834941050375136</v>
      </c>
      <c r="H128" s="61">
        <f t="shared" si="16"/>
        <v>320.69999999999993</v>
      </c>
      <c r="I128" s="61">
        <f t="shared" si="14"/>
        <v>393.4</v>
      </c>
    </row>
    <row r="129" spans="1:9" s="32" customFormat="1" ht="18">
      <c r="A129" s="23" t="s">
        <v>98</v>
      </c>
      <c r="B129" s="74">
        <f>398.1-20</f>
        <v>378.1</v>
      </c>
      <c r="C129" s="44">
        <f>851.8-335.4-20</f>
        <v>496.4</v>
      </c>
      <c r="D129" s="75">
        <f>2.8+2.8-0.1+2.8+2.7+2.9+70.7+4.7+2.9+2.9+2.9+2.9+108.7+2.9+0.1</f>
        <v>212.60000000000002</v>
      </c>
      <c r="E129" s="1">
        <f>D129/D128*100</f>
        <v>39.399555226093405</v>
      </c>
      <c r="F129" s="1">
        <f>D129/B129*100</f>
        <v>56.2285109759323</v>
      </c>
      <c r="G129" s="1">
        <f t="shared" si="12"/>
        <v>42.82836422240129</v>
      </c>
      <c r="H129" s="44">
        <f t="shared" si="16"/>
        <v>165.5</v>
      </c>
      <c r="I129" s="44">
        <f t="shared" si="14"/>
        <v>283.79999999999995</v>
      </c>
    </row>
    <row r="130" spans="1:9" s="2" customFormat="1" ht="37.5">
      <c r="A130" s="16" t="s">
        <v>106</v>
      </c>
      <c r="B130" s="73">
        <f>300-200</f>
        <v>100</v>
      </c>
      <c r="C130" s="53">
        <f>400-200</f>
        <v>200</v>
      </c>
      <c r="D130" s="76"/>
      <c r="E130" s="17">
        <f>D130/D107*100</f>
        <v>0</v>
      </c>
      <c r="F130" s="125">
        <f t="shared" si="15"/>
        <v>0</v>
      </c>
      <c r="G130" s="6">
        <f t="shared" si="12"/>
        <v>0</v>
      </c>
      <c r="H130" s="61">
        <f t="shared" si="16"/>
        <v>100</v>
      </c>
      <c r="I130" s="61">
        <f t="shared" si="14"/>
        <v>200</v>
      </c>
    </row>
    <row r="131" spans="1:9" s="32" customFormat="1" ht="18" hidden="1">
      <c r="A131" s="33" t="s">
        <v>47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>
      <c r="A132" s="16" t="s">
        <v>58</v>
      </c>
      <c r="B132" s="73">
        <v>62.8</v>
      </c>
      <c r="C132" s="53">
        <v>64.1</v>
      </c>
      <c r="D132" s="76">
        <f>0.8+2.3+1.8+1+14.8+2.3+0.1+3.7+14.8+0.6+3.3</f>
        <v>45.5</v>
      </c>
      <c r="E132" s="17">
        <f>D132/D107*100</f>
        <v>0.007905352601312738</v>
      </c>
      <c r="F132" s="6">
        <f t="shared" si="15"/>
        <v>72.45222929936305</v>
      </c>
      <c r="G132" s="6">
        <f t="shared" si="12"/>
        <v>70.98283931357255</v>
      </c>
      <c r="H132" s="61">
        <f t="shared" si="16"/>
        <v>17.299999999999997</v>
      </c>
      <c r="I132" s="61">
        <f>C132-D132</f>
        <v>18.599999999999994</v>
      </c>
    </row>
    <row r="133" spans="1:9" s="2" customFormat="1" ht="35.25" customHeight="1" hidden="1">
      <c r="A133" s="16" t="s">
        <v>59</v>
      </c>
      <c r="B133" s="73"/>
      <c r="C133" s="53"/>
      <c r="D133" s="76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97</v>
      </c>
      <c r="B134" s="73">
        <v>20</v>
      </c>
      <c r="C134" s="53">
        <f>600-500</f>
        <v>100</v>
      </c>
      <c r="D134" s="76">
        <f>0.8+5+0.9+2.6-0.1+0.6+0.1+0.6+1.7+4.6+0.7+1.9</f>
        <v>19.399999999999995</v>
      </c>
      <c r="E134" s="17">
        <f>D134/D107*100</f>
        <v>0.003370633856383892</v>
      </c>
      <c r="F134" s="6">
        <f t="shared" si="15"/>
        <v>96.99999999999997</v>
      </c>
      <c r="G134" s="6">
        <f t="shared" si="12"/>
        <v>19.399999999999995</v>
      </c>
      <c r="H134" s="61">
        <f t="shared" si="16"/>
        <v>0.600000000000005</v>
      </c>
      <c r="I134" s="61">
        <f t="shared" si="14"/>
        <v>80.60000000000001</v>
      </c>
    </row>
    <row r="135" spans="1:9" s="2" customFormat="1" ht="37.5">
      <c r="A135" s="16" t="s">
        <v>59</v>
      </c>
      <c r="B135" s="73">
        <v>40</v>
      </c>
      <c r="C135" s="53">
        <v>40</v>
      </c>
      <c r="D135" s="76">
        <f>39.6</f>
        <v>39.6</v>
      </c>
      <c r="E135" s="17">
        <f>D135/D107*100</f>
        <v>0.006880262923340317</v>
      </c>
      <c r="F135" s="6">
        <f t="shared" si="15"/>
        <v>99</v>
      </c>
      <c r="G135" s="6">
        <f t="shared" si="12"/>
        <v>99</v>
      </c>
      <c r="H135" s="61">
        <f t="shared" si="16"/>
        <v>0.3999999999999986</v>
      </c>
      <c r="I135" s="61">
        <f t="shared" si="14"/>
        <v>0.3999999999999986</v>
      </c>
    </row>
    <row r="136" spans="1:9" s="2" customFormat="1" ht="37.5">
      <c r="A136" s="16" t="s">
        <v>90</v>
      </c>
      <c r="B136" s="73">
        <f>320.7+2.8</f>
        <v>323.5</v>
      </c>
      <c r="C136" s="53">
        <v>363.7</v>
      </c>
      <c r="D136" s="76">
        <f>5.2+0.3+2.7+0.1+0.5+0.2+13.8+39.2+5+5.9+2+6.5+0.1+32.4+5+3.9+0.2+0.7+8.4+0.1+0.1+3+4.4+0.1+5.5+21.4+0.1+4.5+0.6+5.7+0.4+24.5+1.5+1.7+1.6+1.3+1.6+9.9+1.4+0.4+6.1+0.3+0.5+0.1+17.8+1.9+12.4+0.1+1.6</f>
        <v>262.70000000000005</v>
      </c>
      <c r="E136" s="17">
        <f>D136/D107*100</f>
        <v>0.045642552271755094</v>
      </c>
      <c r="F136" s="6">
        <f t="shared" si="15"/>
        <v>81.20556414219476</v>
      </c>
      <c r="G136" s="6">
        <f>D136/C136*100</f>
        <v>72.22985977453948</v>
      </c>
      <c r="H136" s="61">
        <f t="shared" si="16"/>
        <v>60.799999999999955</v>
      </c>
      <c r="I136" s="61">
        <f t="shared" si="14"/>
        <v>100.99999999999994</v>
      </c>
    </row>
    <row r="137" spans="1:9" s="32" customFormat="1" ht="18">
      <c r="A137" s="23" t="s">
        <v>27</v>
      </c>
      <c r="B137" s="74">
        <f>224.4+17.8</f>
        <v>242.20000000000002</v>
      </c>
      <c r="C137" s="44">
        <f>218.8+36.5+17.8</f>
        <v>273.1</v>
      </c>
      <c r="D137" s="75">
        <f>0.3+39.3+0.2+2+32.4+0.2-0.1+5.4+0.1+5.5+21.4+0.1+0.1+22.6+1.7+9.9+0.6+0.2+6.1+17.8+0.4+11</f>
        <v>177.19999999999996</v>
      </c>
      <c r="E137" s="103">
        <f>D137/D136*100</f>
        <v>67.45336886181954</v>
      </c>
      <c r="F137" s="1">
        <f t="shared" si="15"/>
        <v>73.16267547481418</v>
      </c>
      <c r="G137" s="1">
        <f>D137/C137*100</f>
        <v>64.88465763456607</v>
      </c>
      <c r="H137" s="44">
        <f t="shared" si="16"/>
        <v>65.00000000000006</v>
      </c>
      <c r="I137" s="44">
        <f t="shared" si="14"/>
        <v>95.90000000000006</v>
      </c>
    </row>
    <row r="138" spans="1:9" s="2" customFormat="1" ht="18.75">
      <c r="A138" s="16" t="s">
        <v>26</v>
      </c>
      <c r="B138" s="73">
        <v>1159.6</v>
      </c>
      <c r="C138" s="53">
        <f>1160.2+12+85</f>
        <v>1257.2</v>
      </c>
      <c r="D138" s="76">
        <f>26.5+42.3+30.1+3.6+8.6+42.3+0.1+5.7+31.9+5.2+42.5+11.7+55+45.4+28.3+17.8+9.6+33.4+0.9+26.8+46.9+38.1-0.1+30.6+29.1+43.2+28.9+29.5+0.1+43.5+140.8+0.1+38.4+46.8+37.3+6.7+42.3+4.9+48.5+0.1+16.1+25.2+0.5</f>
        <v>1165.1999999999998</v>
      </c>
      <c r="E138" s="17">
        <f>D138/D107*100</f>
        <v>0.20244652419889234</v>
      </c>
      <c r="F138" s="6">
        <f t="shared" si="15"/>
        <v>100.48292514660227</v>
      </c>
      <c r="G138" s="6">
        <f t="shared" si="12"/>
        <v>92.68215081132674</v>
      </c>
      <c r="H138" s="61">
        <f t="shared" si="16"/>
        <v>-5.599999999999909</v>
      </c>
      <c r="I138" s="61">
        <f t="shared" si="14"/>
        <v>92.00000000000023</v>
      </c>
    </row>
    <row r="139" spans="1:9" s="32" customFormat="1" ht="18">
      <c r="A139" s="33" t="s">
        <v>47</v>
      </c>
      <c r="B139" s="74">
        <v>813</v>
      </c>
      <c r="C139" s="44">
        <f>886.2+1.2</f>
        <v>887.4000000000001</v>
      </c>
      <c r="D139" s="75">
        <f>26.5+39.8+30.1+42.1+0.1+31.9+40.5+11.2+38.1+30.1+28.3+17.4+33.4+8.9+24.2+37.9+28.8+43.2+29.4+43.5-0.1+36.5+38.4+39.2+36.7-0.1+33.6+39+4.1+25.2</f>
        <v>837.9000000000001</v>
      </c>
      <c r="E139" s="1">
        <f>D139/D138*100</f>
        <v>71.9104016477858</v>
      </c>
      <c r="F139" s="1">
        <f aca="true" t="shared" si="17" ref="F139:F147">D139/B139*100</f>
        <v>103.06273062730628</v>
      </c>
      <c r="G139" s="1">
        <f t="shared" si="12"/>
        <v>94.42190669371196</v>
      </c>
      <c r="H139" s="44">
        <f t="shared" si="16"/>
        <v>-24.90000000000009</v>
      </c>
      <c r="I139" s="44">
        <f t="shared" si="14"/>
        <v>49.5</v>
      </c>
    </row>
    <row r="140" spans="1:9" s="32" customFormat="1" ht="18">
      <c r="A140" s="23" t="s">
        <v>27</v>
      </c>
      <c r="B140" s="74">
        <v>30</v>
      </c>
      <c r="C140" s="44">
        <v>39.3</v>
      </c>
      <c r="D140" s="75">
        <f>8.6+0.2+0.3+5.1+0.4+5.3+0.3+0.3+0.2+0.3+0.3+0.3+2.3+3.2+0.4</f>
        <v>27.5</v>
      </c>
      <c r="E140" s="1">
        <f>D140/D138*100</f>
        <v>2.360109852385857</v>
      </c>
      <c r="F140" s="1">
        <f t="shared" si="17"/>
        <v>91.66666666666666</v>
      </c>
      <c r="G140" s="1">
        <f>D140/C140*100</f>
        <v>69.97455470737914</v>
      </c>
      <c r="H140" s="44">
        <f t="shared" si="16"/>
        <v>2.5</v>
      </c>
      <c r="I140" s="44">
        <f t="shared" si="14"/>
        <v>11.799999999999997</v>
      </c>
    </row>
    <row r="141" spans="1:9" s="2" customFormat="1" ht="56.25">
      <c r="A141" s="18" t="s">
        <v>95</v>
      </c>
      <c r="B141" s="73">
        <v>499.1</v>
      </c>
      <c r="C141" s="53">
        <f>345+154.1+25</f>
        <v>524.1</v>
      </c>
      <c r="D141" s="76">
        <f>345+154.1</f>
        <v>499.1</v>
      </c>
      <c r="E141" s="17">
        <f>D141/D107*100</f>
        <v>0.08671563699593819</v>
      </c>
      <c r="F141" s="99">
        <f t="shared" si="17"/>
        <v>100</v>
      </c>
      <c r="G141" s="6">
        <f t="shared" si="12"/>
        <v>95.22991795458881</v>
      </c>
      <c r="H141" s="61">
        <f t="shared" si="16"/>
        <v>0</v>
      </c>
      <c r="I141" s="61">
        <f t="shared" si="14"/>
        <v>25</v>
      </c>
    </row>
    <row r="142" spans="1:9" s="2" customFormat="1" ht="18.75">
      <c r="A142" s="18" t="s">
        <v>107</v>
      </c>
      <c r="B142" s="73">
        <v>3220</v>
      </c>
      <c r="C142" s="53">
        <f>2620+600</f>
        <v>3220</v>
      </c>
      <c r="D142" s="76">
        <f>2620+600</f>
        <v>3220</v>
      </c>
      <c r="E142" s="17">
        <f>D142/D107*100</f>
        <v>0.5594557225544399</v>
      </c>
      <c r="F142" s="99">
        <f>D142/B142*100</f>
        <v>100</v>
      </c>
      <c r="G142" s="6">
        <f t="shared" si="12"/>
        <v>100</v>
      </c>
      <c r="H142" s="61">
        <f t="shared" si="16"/>
        <v>0</v>
      </c>
      <c r="I142" s="61">
        <f t="shared" si="14"/>
        <v>0</v>
      </c>
    </row>
    <row r="143" spans="1:9" s="2" customFormat="1" ht="18.75">
      <c r="A143" s="18" t="s">
        <v>92</v>
      </c>
      <c r="B143" s="73">
        <f>39981.9+8.4+185.2+0.1</f>
        <v>40175.6</v>
      </c>
      <c r="C143" s="53">
        <f>16744+15000+2000-2607.4+8610.1+1327.3+3638+185.2+0.1+3320</f>
        <v>48217.299999999996</v>
      </c>
      <c r="D143" s="76">
        <f>112.8+55.6+128.7+0.1+105.3+21.7+331.5+41.9+106.9+1197.5+64.4+33.5+768.6+5.6+65.8+1473+34.4+335.2+312.9+1166.8+460.5+1222.9+80.6+345.1+0.1+100+568+208.9+692.3+545.3+256.2+7.3+541.9+187.1+120.3+189.7+763.7+106.1+275.6+3020.5+51.8+369.9+152.3+1900.1+0.2+105.3+1278.3+11+454+278.3+766.1-0.1+1169.6+37.5+123.7+418.9+483.2+347.9+150+652.1+33.4+631.6+1290.4+174.7+188.9+1164.7+122.1+3.8+42+994.1+165.7+363.3+1.9+102.1+983.3+775.9+141.6+225+107.6+409+115.9+2707+23.9+196.6+96.9+110+1.9+171+204.5+1021.7+1367+395.7+2551.8+1830.9+89+123.4</f>
        <v>43732.7</v>
      </c>
      <c r="E143" s="17">
        <f>D143/D107*100</f>
        <v>7.5982948067566936</v>
      </c>
      <c r="F143" s="99">
        <f t="shared" si="17"/>
        <v>108.85388146038888</v>
      </c>
      <c r="G143" s="6">
        <f t="shared" si="12"/>
        <v>90.69918888033963</v>
      </c>
      <c r="H143" s="61">
        <f t="shared" si="16"/>
        <v>-3557.0999999999985</v>
      </c>
      <c r="I143" s="61">
        <f t="shared" si="14"/>
        <v>4484.5999999999985</v>
      </c>
    </row>
    <row r="144" spans="1:9" s="2" customFormat="1" ht="18.75" hidden="1">
      <c r="A144" s="18" t="s">
        <v>93</v>
      </c>
      <c r="B144" s="73"/>
      <c r="C144" s="53"/>
      <c r="D144" s="76"/>
      <c r="E144" s="17">
        <f>D144/D107*100</f>
        <v>0</v>
      </c>
      <c r="F144" s="99" t="e">
        <f t="shared" si="17"/>
        <v>#DIV/0!</v>
      </c>
      <c r="G144" s="6" t="e">
        <f t="shared" si="12"/>
        <v>#DIV/0!</v>
      </c>
      <c r="H144" s="61">
        <f t="shared" si="16"/>
        <v>0</v>
      </c>
      <c r="I144" s="61">
        <f t="shared" si="14"/>
        <v>0</v>
      </c>
    </row>
    <row r="145" spans="1:9" s="2" customFormat="1" ht="18.75">
      <c r="A145" s="16" t="s">
        <v>96</v>
      </c>
      <c r="B145" s="73">
        <v>2247.6</v>
      </c>
      <c r="C145" s="53">
        <f>6504.8-4188</f>
        <v>2316.8</v>
      </c>
      <c r="D145" s="76">
        <f>2094+16+20.8</f>
        <v>2130.8</v>
      </c>
      <c r="E145" s="17">
        <f>D145/D107*100</f>
        <v>0.3702137433599381</v>
      </c>
      <c r="F145" s="99">
        <f t="shared" si="17"/>
        <v>94.80334579106604</v>
      </c>
      <c r="G145" s="6">
        <f t="shared" si="12"/>
        <v>91.97168508287294</v>
      </c>
      <c r="H145" s="61">
        <f t="shared" si="16"/>
        <v>116.79999999999973</v>
      </c>
      <c r="I145" s="61">
        <f t="shared" si="14"/>
        <v>186</v>
      </c>
    </row>
    <row r="146" spans="1:12" s="2" customFormat="1" ht="18.75" customHeight="1">
      <c r="A146" s="16" t="s">
        <v>83</v>
      </c>
      <c r="B146" s="73">
        <v>602.7</v>
      </c>
      <c r="C146" s="53">
        <v>602.7</v>
      </c>
      <c r="D146" s="76">
        <f>568.7+16.6-0.1+15.4+2.1</f>
        <v>602.7</v>
      </c>
      <c r="E146" s="17">
        <f>D146/D107*100</f>
        <v>0.10471551676508105</v>
      </c>
      <c r="F146" s="99">
        <f t="shared" si="17"/>
        <v>100</v>
      </c>
      <c r="G146" s="6">
        <f t="shared" si="12"/>
        <v>100</v>
      </c>
      <c r="H146" s="61">
        <f t="shared" si="16"/>
        <v>0</v>
      </c>
      <c r="I146" s="61">
        <f t="shared" si="14"/>
        <v>0</v>
      </c>
      <c r="K146" s="38"/>
      <c r="L146" s="38"/>
    </row>
    <row r="147" spans="1:12" s="2" customFormat="1" ht="19.5" customHeight="1">
      <c r="A147" s="16" t="s">
        <v>54</v>
      </c>
      <c r="B147" s="73">
        <f>445905.1+1534-500+735.8-1038.5-424.7+199.1</f>
        <v>446410.79999999993</v>
      </c>
      <c r="C147" s="53">
        <f>473452.9-2494.7-2700.6+1093.8-24.3-424.7+199.1-665.3</f>
        <v>468436.2</v>
      </c>
      <c r="D147" s="76">
        <f>26548.7+545.5+173+4155.7+7306.3+113.6+824.5+6.1+72.3+8+1047.4+410+6261.9+444+5000+62+300+4421.1+9632.9+10381.2+4798+2674.1+4582.7+1925.2+5487.5+2575.7+1386.8+2800+3291.9+2943.8+6733.2+8553.9-805.6+5278.7+2003.9+49.6+345.1+3306.6+4469.6+5409.1+3675.7+2737.2+2197.2+4047.6+9675.8+15870.5+9518.1+214.4+3758.9+1514.4+737.1+3410.5+6394+2234+2690.6+2983.8+4077.9+1542.2+7154.2+10110.2+8575.2+1811.3+2880.2+1283.8+2875.8+7240.1+4319.9+1072+2852.3+4576.4+3174.9+3455.8+3838+4679.9+4321.5+2318.8+1595.1+5454.6+10494.7+53.8+2794.1+1700.9+572.4+2892.4+54.6+5385.4+25.8+802.6+6.5+493+41.9+2382.3+3709.2+3849.8+621.1+1427.4+1944.2+2446+1308.3+4405.5+9588.9+55.3+7536.4+1072.6+878.9+1120.6+1731.2+4157+155.9+1484.9+7590.8+2684.6+1175.2+1850.4+3473.8+8.6+1701.7+2648.5+7402.6+12096+8228.4+4743.5+940.3+204.9+1286.7+5673.6+7+22.5+4.6+22.2+2722.1+9442.7+12+2389+942.2+10+5048.3</f>
        <v>463919.70000000007</v>
      </c>
      <c r="E147" s="17">
        <f>D147/D107*100</f>
        <v>80.60327048780715</v>
      </c>
      <c r="F147" s="6">
        <f t="shared" si="17"/>
        <v>103.9221497329366</v>
      </c>
      <c r="G147" s="6">
        <f t="shared" si="12"/>
        <v>99.03583454908055</v>
      </c>
      <c r="H147" s="61">
        <f t="shared" si="16"/>
        <v>-17508.90000000014</v>
      </c>
      <c r="I147" s="61">
        <f t="shared" si="14"/>
        <v>4516.499999999942</v>
      </c>
      <c r="K147" s="91"/>
      <c r="L147" s="38"/>
    </row>
    <row r="148" spans="1:12" s="2" customFormat="1" ht="18.75">
      <c r="A148" s="16" t="s">
        <v>94</v>
      </c>
      <c r="B148" s="73">
        <v>26584.8</v>
      </c>
      <c r="C148" s="53">
        <v>29001.6</v>
      </c>
      <c r="D148" s="76">
        <f>805.6+805.6+805.6+805.6+805.6+805.6+805.6+805.6+805.6+805.6+805.6+805.6+805.6+805.6+805.6+805.6+805.6+805.6+805.6+805.6+805.6+805.6+805.6+805.6+805.6+805.6+805.6+805.6+805.6+805.6+805.6+805.6+805.6+805.6</f>
        <v>27390.399999999987</v>
      </c>
      <c r="E148" s="17">
        <f>D148/D107*100</f>
        <v>4.758918019582337</v>
      </c>
      <c r="F148" s="6">
        <f t="shared" si="15"/>
        <v>103.03030303030299</v>
      </c>
      <c r="G148" s="6">
        <f t="shared" si="12"/>
        <v>94.44444444444441</v>
      </c>
      <c r="H148" s="61">
        <f t="shared" si="16"/>
        <v>-805.5999999999876</v>
      </c>
      <c r="I148" s="61">
        <f t="shared" si="14"/>
        <v>1611.2000000000116</v>
      </c>
      <c r="K148" s="38"/>
      <c r="L148" s="38"/>
    </row>
    <row r="149" spans="1:12" s="2" customFormat="1" ht="19.5" thickBot="1">
      <c r="A149" s="34" t="s">
        <v>31</v>
      </c>
      <c r="B149" s="77">
        <f>B43+B69+B72+B77+B79+B87+B102+B107+B100+B84+B98</f>
        <v>565198.4000000001</v>
      </c>
      <c r="C149" s="77">
        <f>C43+C69+C72+C77+C79+C87+C102+C107+C100+C84+C98</f>
        <v>602893.2</v>
      </c>
      <c r="D149" s="53">
        <f>D43+D69+D72+D77+D79+D87+D102+D107+D100+D84+D98</f>
        <v>584313.5000000001</v>
      </c>
      <c r="E149" s="17"/>
      <c r="F149" s="17"/>
      <c r="G149" s="6"/>
      <c r="H149" s="61"/>
      <c r="I149" s="53"/>
      <c r="K149" s="38"/>
      <c r="L149" s="38"/>
    </row>
    <row r="150" spans="1:12" ht="19.5" thickBot="1">
      <c r="A150" s="13" t="s">
        <v>18</v>
      </c>
      <c r="B150" s="47">
        <f>B6+B18+B33+B43+B51+B59+B69+B72+B77+B79+B87+B90+B95+B102+B107+B100+B84+B98+B45</f>
        <v>1416874.8000000003</v>
      </c>
      <c r="C150" s="47">
        <f>C6+C18+C33+C43+C51+C59+C69+C72+C77+C79+C87+C90+C95+C102+C107+C100+C84+C98+C45</f>
        <v>1539918.4</v>
      </c>
      <c r="D150" s="47">
        <f>D6+D18+D33+D43+D51+D59+D69+D72+D77+D79+D87+D90+D95+D102+D107+D100+D84+D98+D45</f>
        <v>1414145.8</v>
      </c>
      <c r="E150" s="31">
        <v>100</v>
      </c>
      <c r="F150" s="3">
        <f>D150/B150*100</f>
        <v>99.8073930032491</v>
      </c>
      <c r="G150" s="3">
        <f aca="true" t="shared" si="18" ref="G150:G156">D150/C150*100</f>
        <v>91.8325152813292</v>
      </c>
      <c r="H150" s="47">
        <f aca="true" t="shared" si="19" ref="H150:H156">B150-D150</f>
        <v>2729.000000000233</v>
      </c>
      <c r="I150" s="47">
        <f aca="true" t="shared" si="20" ref="I150:I156">C150-D150</f>
        <v>125772.59999999986</v>
      </c>
      <c r="K150" s="39"/>
      <c r="L150" s="40"/>
    </row>
    <row r="151" spans="1:12" ht="18.75">
      <c r="A151" s="18" t="s">
        <v>5</v>
      </c>
      <c r="B151" s="60">
        <f>B8+B20+B34+B52+B60+B91+B115+B119+B46+B139+B131+B103</f>
        <v>558634.2999999999</v>
      </c>
      <c r="C151" s="60">
        <f>C8+C20+C34+C52+C60+C91+C115+C119+C46+C139+C131+C103</f>
        <v>612995.1999999997</v>
      </c>
      <c r="D151" s="60">
        <f>D8+D20+D34+D52+D60+D91+D115+D119+D46+D139+D131+D103</f>
        <v>575024.8999999999</v>
      </c>
      <c r="E151" s="6">
        <f>D151/D150*100</f>
        <v>40.66234896005771</v>
      </c>
      <c r="F151" s="6">
        <f aca="true" t="shared" si="21" ref="F151:F156">D151/B151*100</f>
        <v>102.93404826735485</v>
      </c>
      <c r="G151" s="6">
        <f t="shared" si="18"/>
        <v>93.80577531439074</v>
      </c>
      <c r="H151" s="61">
        <f t="shared" si="19"/>
        <v>-16390.599999999977</v>
      </c>
      <c r="I151" s="72">
        <f t="shared" si="20"/>
        <v>37970.299999999814</v>
      </c>
      <c r="K151" s="39"/>
      <c r="L151" s="40"/>
    </row>
    <row r="152" spans="1:12" ht="18.75">
      <c r="A152" s="18" t="s">
        <v>0</v>
      </c>
      <c r="B152" s="61">
        <f>B11+B23+B36+B55+B62+B92+B49+B140+B109+B112+B96+B137</f>
        <v>103727.50000000001</v>
      </c>
      <c r="C152" s="61">
        <f>C11+C23+C36+C55+C62+C92+C49+C140+C109+C112+C96+C137</f>
        <v>121016</v>
      </c>
      <c r="D152" s="61">
        <f>D11+D23+D36+D55+D62+D92+D49+D140+D109+D112+D96+D137</f>
        <v>78003.49999999999</v>
      </c>
      <c r="E152" s="6">
        <f>D152/D150*100</f>
        <v>5.515944678405861</v>
      </c>
      <c r="F152" s="6">
        <f t="shared" si="21"/>
        <v>75.20040490708826</v>
      </c>
      <c r="G152" s="6">
        <f t="shared" si="18"/>
        <v>64.45717921597142</v>
      </c>
      <c r="H152" s="61">
        <f t="shared" si="19"/>
        <v>25724.00000000003</v>
      </c>
      <c r="I152" s="72">
        <f t="shared" si="20"/>
        <v>43012.500000000015</v>
      </c>
      <c r="K152" s="39"/>
      <c r="L152" s="90"/>
    </row>
    <row r="153" spans="1:12" ht="18.75">
      <c r="A153" s="18" t="s">
        <v>1</v>
      </c>
      <c r="B153" s="60">
        <f>B22+B10+B54+B48+B61+B35+B123</f>
        <v>33588.100000000006</v>
      </c>
      <c r="C153" s="60">
        <f>C22+C10+C54+C48+C61+C35+C123</f>
        <v>34579.6</v>
      </c>
      <c r="D153" s="60">
        <f>D22+D10+D54+D48+D61+D35+D123</f>
        <v>31580.800000000017</v>
      </c>
      <c r="E153" s="6">
        <f>D153/D150*100</f>
        <v>2.233206788154377</v>
      </c>
      <c r="F153" s="6">
        <f t="shared" si="21"/>
        <v>94.02377627790798</v>
      </c>
      <c r="G153" s="6">
        <f t="shared" si="18"/>
        <v>91.32783490844318</v>
      </c>
      <c r="H153" s="61">
        <f t="shared" si="19"/>
        <v>2007.2999999999884</v>
      </c>
      <c r="I153" s="72">
        <f t="shared" si="20"/>
        <v>2998.799999999981</v>
      </c>
      <c r="K153" s="39"/>
      <c r="L153" s="40"/>
    </row>
    <row r="154" spans="1:12" ht="21" customHeight="1">
      <c r="A154" s="18" t="s">
        <v>14</v>
      </c>
      <c r="B154" s="60">
        <f>B12+B24+B104+B63+B38+B93+B129+B56</f>
        <v>23407.2</v>
      </c>
      <c r="C154" s="60">
        <f>C12+C24+C104+C63+C38+C93+C129+C56</f>
        <v>25920.399999999998</v>
      </c>
      <c r="D154" s="60">
        <f>D12+D24+D104+D63+D38+D93+D129+D56</f>
        <v>22454</v>
      </c>
      <c r="E154" s="6">
        <f>D154/D150*100</f>
        <v>1.5878136469379607</v>
      </c>
      <c r="F154" s="6">
        <f t="shared" si="21"/>
        <v>95.92774872688746</v>
      </c>
      <c r="G154" s="6">
        <f t="shared" si="18"/>
        <v>86.62674958719774</v>
      </c>
      <c r="H154" s="61">
        <f t="shared" si="19"/>
        <v>953.2000000000007</v>
      </c>
      <c r="I154" s="72">
        <f t="shared" si="20"/>
        <v>3466.399999999998</v>
      </c>
      <c r="K154" s="39"/>
      <c r="L154" s="90"/>
    </row>
    <row r="155" spans="1:12" ht="18.75">
      <c r="A155" s="18" t="s">
        <v>2</v>
      </c>
      <c r="B155" s="60">
        <f>B9+B21+B47+B53+B122</f>
        <v>20400</v>
      </c>
      <c r="C155" s="60">
        <f>C9+C21+C47+C53+C122</f>
        <v>22162.1</v>
      </c>
      <c r="D155" s="60">
        <f>D9+D21+D47+D53+D122</f>
        <v>20697.59999999999</v>
      </c>
      <c r="E155" s="6">
        <f>D155/D150*100</f>
        <v>1.4636114607135975</v>
      </c>
      <c r="F155" s="6">
        <f t="shared" si="21"/>
        <v>101.45882352941172</v>
      </c>
      <c r="G155" s="6">
        <f t="shared" si="18"/>
        <v>93.39187170890841</v>
      </c>
      <c r="H155" s="61">
        <f t="shared" si="19"/>
        <v>-297.59999999999127</v>
      </c>
      <c r="I155" s="72">
        <f t="shared" si="20"/>
        <v>1464.5000000000073</v>
      </c>
      <c r="K155" s="39"/>
      <c r="L155" s="40"/>
    </row>
    <row r="156" spans="1:12" ht="19.5" thickBot="1">
      <c r="A156" s="126" t="s">
        <v>29</v>
      </c>
      <c r="B156" s="78">
        <f>B150-B151-B152-B153-B154-B155</f>
        <v>677117.7000000004</v>
      </c>
      <c r="C156" s="78">
        <f>C150-C151-C152-C153-C154-C155</f>
        <v>723245.1000000002</v>
      </c>
      <c r="D156" s="78">
        <f>D150-D151-D152-D153-D154-D155</f>
        <v>686385.0000000001</v>
      </c>
      <c r="E156" s="36">
        <f>D156/D150*100</f>
        <v>48.537074465730484</v>
      </c>
      <c r="F156" s="36">
        <f t="shared" si="21"/>
        <v>101.36863945514934</v>
      </c>
      <c r="G156" s="36">
        <f t="shared" si="18"/>
        <v>94.90351196295694</v>
      </c>
      <c r="H156" s="127">
        <f t="shared" si="19"/>
        <v>-9267.299999999697</v>
      </c>
      <c r="I156" s="127">
        <f t="shared" si="20"/>
        <v>36860.10000000009</v>
      </c>
      <c r="K156" s="39"/>
      <c r="L156" s="90"/>
    </row>
    <row r="157" spans="7:8" ht="12.75">
      <c r="G157" s="20"/>
      <c r="H157" s="20"/>
    </row>
    <row r="158" spans="7:9" ht="12.75">
      <c r="G158" s="20"/>
      <c r="H158" s="20"/>
      <c r="I158" s="20"/>
    </row>
    <row r="159" spans="7:8" ht="12.75">
      <c r="G159" s="20"/>
      <c r="H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7:8" ht="12.75"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6">
    <cfRule type="cellIs" priority="3" dxfId="0" operator="lessThan" stopIfTrue="1">
      <formula>0</formula>
    </cfRule>
  </conditionalFormatting>
  <printOptions/>
  <pageMargins left="0.54" right="0.16" top="0.2" bottom="0.19" header="0.17" footer="0.18"/>
  <pageSetup fitToHeight="2" fitToWidth="1"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34</v>
      </c>
      <c r="B1" s="4"/>
      <c r="C1" s="4"/>
      <c r="D1" s="4" t="s">
        <v>32</v>
      </c>
      <c r="E1" s="5">
        <f>'аналіз фінансування'!C150</f>
        <v>1539918.4</v>
      </c>
    </row>
    <row r="2" spans="1:5" ht="15.75">
      <c r="A2" s="4"/>
      <c r="B2" s="4"/>
      <c r="C2" s="4"/>
      <c r="D2" s="4" t="s">
        <v>33</v>
      </c>
      <c r="E2" s="5">
        <f>'аналіз фінансування'!D150</f>
        <v>1414145.8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34</v>
      </c>
      <c r="B1" s="4"/>
      <c r="C1" s="4"/>
      <c r="D1" s="4" t="s">
        <v>32</v>
      </c>
      <c r="E1" s="5">
        <f>'аналіз фінансування'!C150</f>
        <v>1539918.4</v>
      </c>
    </row>
    <row r="2" spans="1:5" ht="15.75">
      <c r="A2" s="4"/>
      <c r="B2" s="4"/>
      <c r="C2" s="4"/>
      <c r="D2" s="4" t="s">
        <v>33</v>
      </c>
      <c r="E2" s="5">
        <f>'аналіз фінансування'!D150</f>
        <v>1414145.8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2016-12-01T08:52:42Z</cp:lastPrinted>
  <dcterms:created xsi:type="dcterms:W3CDTF">2000-06-20T04:48:00Z</dcterms:created>
  <dcterms:modified xsi:type="dcterms:W3CDTF">2016-12-19T06:14:13Z</dcterms:modified>
  <cp:category/>
  <cp:version/>
  <cp:contentType/>
  <cp:contentStatus/>
</cp:coreProperties>
</file>